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olanta\Documents\Kainų komisijos rodikliai 2019\"/>
    </mc:Choice>
  </mc:AlternateContent>
  <xr:revisionPtr revIDLastSave="0" documentId="13_ncr:1_{B8220A00-1EF8-4AA2-B36F-F202D7BB0C75}" xr6:coauthVersionLast="45" xr6:coauthVersionMax="45" xr10:uidLastSave="{00000000-0000-0000-0000-000000000000}"/>
  <bookViews>
    <workbookView xWindow="2535" yWindow="2535" windowWidth="21600" windowHeight="11400" activeTab="3"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0" i="12" l="1"/>
  <c r="E185" i="12" s="1"/>
  <c r="E144" i="12"/>
  <c r="E130" i="12"/>
  <c r="E129" i="12" s="1"/>
  <c r="E55" i="8" s="1"/>
  <c r="E54" i="8" s="1"/>
  <c r="E83" i="12"/>
  <c r="E69" i="12"/>
  <c r="E62" i="12"/>
  <c r="J133" i="11"/>
  <c r="F133" i="11"/>
  <c r="J132" i="11"/>
  <c r="F132" i="11"/>
  <c r="J131" i="11"/>
  <c r="F131" i="11"/>
  <c r="J130" i="11"/>
  <c r="F130" i="11"/>
  <c r="J129" i="11"/>
  <c r="F129" i="11"/>
  <c r="J128" i="11"/>
  <c r="F128" i="11"/>
  <c r="J127" i="11"/>
  <c r="F127" i="11"/>
  <c r="J126" i="11"/>
  <c r="F126" i="11"/>
  <c r="J125" i="11"/>
  <c r="F125" i="11"/>
  <c r="J124" i="11"/>
  <c r="F124" i="11"/>
  <c r="J123" i="11"/>
  <c r="F123" i="11"/>
  <c r="J122" i="11"/>
  <c r="F122" i="11"/>
  <c r="J121" i="11"/>
  <c r="F121" i="11"/>
  <c r="J120" i="11"/>
  <c r="F120" i="11"/>
  <c r="J119" i="11"/>
  <c r="F119" i="11"/>
  <c r="P117" i="11"/>
  <c r="O117" i="11"/>
  <c r="N117" i="11"/>
  <c r="M117" i="11"/>
  <c r="L117" i="11"/>
  <c r="K117" i="11"/>
  <c r="I117" i="11"/>
  <c r="H117" i="11"/>
  <c r="G117" i="11"/>
  <c r="E117" i="11"/>
  <c r="P116" i="11"/>
  <c r="O116" i="11"/>
  <c r="N116" i="11"/>
  <c r="M116" i="11"/>
  <c r="L116" i="11"/>
  <c r="K116" i="11"/>
  <c r="I116" i="11"/>
  <c r="H116" i="11"/>
  <c r="G116" i="11"/>
  <c r="E116" i="11"/>
  <c r="P115" i="11"/>
  <c r="O115" i="11"/>
  <c r="N115" i="11"/>
  <c r="M115" i="11"/>
  <c r="L115" i="11"/>
  <c r="K115" i="11"/>
  <c r="I115" i="11"/>
  <c r="H115" i="11"/>
  <c r="G115" i="11"/>
  <c r="E115" i="11"/>
  <c r="D114" i="11"/>
  <c r="P113" i="11"/>
  <c r="O113" i="11"/>
  <c r="N113" i="11"/>
  <c r="M113" i="11"/>
  <c r="L113" i="11"/>
  <c r="K113" i="11"/>
  <c r="I113" i="11"/>
  <c r="H113" i="11"/>
  <c r="G113" i="11"/>
  <c r="E113" i="11"/>
  <c r="P112" i="11"/>
  <c r="O112" i="11"/>
  <c r="N112" i="11"/>
  <c r="M112" i="11"/>
  <c r="L112" i="11"/>
  <c r="K112" i="11"/>
  <c r="I112" i="11"/>
  <c r="H112" i="11"/>
  <c r="G112" i="11"/>
  <c r="E112" i="11"/>
  <c r="D111" i="11"/>
  <c r="P110" i="11"/>
  <c r="O110" i="11"/>
  <c r="N110" i="11"/>
  <c r="M110" i="11"/>
  <c r="L110" i="11"/>
  <c r="K110" i="11"/>
  <c r="I110" i="11"/>
  <c r="H110" i="11"/>
  <c r="G110" i="11"/>
  <c r="E110" i="11"/>
  <c r="P109" i="11"/>
  <c r="P108" i="11" s="1"/>
  <c r="O109" i="11"/>
  <c r="O108" i="11" s="1"/>
  <c r="N109" i="11"/>
  <c r="M109" i="11"/>
  <c r="L109" i="11"/>
  <c r="K109" i="11"/>
  <c r="I109" i="11"/>
  <c r="H109" i="11"/>
  <c r="G109" i="11"/>
  <c r="E109" i="11"/>
  <c r="D108" i="11"/>
  <c r="P107" i="11"/>
  <c r="P106" i="11" s="1"/>
  <c r="O107" i="11"/>
  <c r="O106" i="11" s="1"/>
  <c r="N107" i="11"/>
  <c r="M107" i="11"/>
  <c r="M106" i="11" s="1"/>
  <c r="L107" i="11"/>
  <c r="K107" i="11"/>
  <c r="K106" i="11" s="1"/>
  <c r="I107" i="11"/>
  <c r="I106" i="11" s="1"/>
  <c r="H107" i="11"/>
  <c r="H106" i="11" s="1"/>
  <c r="G107" i="11"/>
  <c r="E107" i="11"/>
  <c r="E106" i="11" s="1"/>
  <c r="N106" i="11"/>
  <c r="G106" i="11"/>
  <c r="D106" i="11"/>
  <c r="P105" i="11"/>
  <c r="O105" i="11"/>
  <c r="N105" i="11"/>
  <c r="M105" i="11"/>
  <c r="L105" i="11"/>
  <c r="K105" i="11"/>
  <c r="I105" i="11"/>
  <c r="H105" i="11"/>
  <c r="G105" i="11"/>
  <c r="E105" i="11"/>
  <c r="P104" i="11"/>
  <c r="O104" i="11"/>
  <c r="N104" i="11"/>
  <c r="M104" i="11"/>
  <c r="L104" i="11"/>
  <c r="K104" i="11"/>
  <c r="I104" i="11"/>
  <c r="H104" i="11"/>
  <c r="G104" i="11"/>
  <c r="E104" i="11"/>
  <c r="P103" i="11"/>
  <c r="O103" i="11"/>
  <c r="N103" i="11"/>
  <c r="M103" i="11"/>
  <c r="L103" i="11"/>
  <c r="K103" i="11"/>
  <c r="I103" i="11"/>
  <c r="H103" i="11"/>
  <c r="G103" i="11"/>
  <c r="E103" i="11"/>
  <c r="P102" i="11"/>
  <c r="O102" i="11"/>
  <c r="N102" i="11"/>
  <c r="M102" i="11"/>
  <c r="L102" i="11"/>
  <c r="K102" i="11"/>
  <c r="I102" i="11"/>
  <c r="H102" i="11"/>
  <c r="G102" i="11"/>
  <c r="E102" i="11"/>
  <c r="D101" i="11"/>
  <c r="P100" i="11"/>
  <c r="O100" i="11"/>
  <c r="N100" i="11"/>
  <c r="M100" i="11"/>
  <c r="L100" i="11"/>
  <c r="K100" i="11"/>
  <c r="I100" i="11"/>
  <c r="H100" i="11"/>
  <c r="G100" i="11"/>
  <c r="E100" i="11"/>
  <c r="P99" i="11"/>
  <c r="O99" i="11"/>
  <c r="N99" i="11"/>
  <c r="M99" i="11"/>
  <c r="L99" i="11"/>
  <c r="K99" i="11"/>
  <c r="I99" i="11"/>
  <c r="H99" i="11"/>
  <c r="G99" i="11"/>
  <c r="E99" i="11"/>
  <c r="P98" i="11"/>
  <c r="O98" i="11"/>
  <c r="N98" i="11"/>
  <c r="N97" i="11" s="1"/>
  <c r="M98" i="11"/>
  <c r="L98" i="11"/>
  <c r="K98" i="11"/>
  <c r="I98" i="11"/>
  <c r="H98" i="11"/>
  <c r="G98" i="11"/>
  <c r="G97" i="11" s="1"/>
  <c r="E98" i="11"/>
  <c r="P97" i="11"/>
  <c r="D97" i="11"/>
  <c r="J95" i="11"/>
  <c r="F95" i="11"/>
  <c r="J94" i="11"/>
  <c r="F94" i="11"/>
  <c r="J93" i="11"/>
  <c r="F93" i="11"/>
  <c r="J92" i="11"/>
  <c r="F92" i="11"/>
  <c r="J91" i="11"/>
  <c r="F91" i="11"/>
  <c r="J90" i="11"/>
  <c r="F90" i="11"/>
  <c r="J89" i="11"/>
  <c r="F89" i="11"/>
  <c r="J88" i="11"/>
  <c r="F88" i="11"/>
  <c r="J87" i="11"/>
  <c r="F87" i="11"/>
  <c r="J86" i="11"/>
  <c r="F86" i="11"/>
  <c r="J85" i="11"/>
  <c r="F85" i="11"/>
  <c r="J84" i="11"/>
  <c r="F84" i="11"/>
  <c r="J83" i="11"/>
  <c r="F83" i="11"/>
  <c r="J82" i="11"/>
  <c r="F82" i="11"/>
  <c r="J81" i="11"/>
  <c r="F81" i="11"/>
  <c r="J80" i="11"/>
  <c r="F80" i="11"/>
  <c r="P78" i="11"/>
  <c r="O78" i="11"/>
  <c r="N78" i="11"/>
  <c r="N32" i="11" s="1"/>
  <c r="M78" i="11"/>
  <c r="M32" i="11" s="1"/>
  <c r="L78" i="11"/>
  <c r="K78" i="11"/>
  <c r="I78" i="11"/>
  <c r="I32" i="11" s="1"/>
  <c r="H78" i="11"/>
  <c r="H32" i="11" s="1"/>
  <c r="G78" i="11"/>
  <c r="E78" i="11"/>
  <c r="P77" i="11"/>
  <c r="O77" i="11"/>
  <c r="N77" i="11"/>
  <c r="N31" i="11" s="1"/>
  <c r="M77" i="11"/>
  <c r="L77" i="11"/>
  <c r="L31" i="11" s="1"/>
  <c r="K77" i="11"/>
  <c r="I77" i="11"/>
  <c r="I31" i="11" s="1"/>
  <c r="H77" i="11"/>
  <c r="G77" i="11"/>
  <c r="E77" i="11"/>
  <c r="P76" i="11"/>
  <c r="O76" i="11"/>
  <c r="N76" i="11"/>
  <c r="N30" i="11" s="1"/>
  <c r="M76" i="11"/>
  <c r="L76" i="11"/>
  <c r="K76" i="11"/>
  <c r="K75" i="11" s="1"/>
  <c r="I76" i="11"/>
  <c r="H76" i="11"/>
  <c r="G76" i="11"/>
  <c r="E76" i="11"/>
  <c r="P75" i="11"/>
  <c r="N75" i="11"/>
  <c r="L75" i="11"/>
  <c r="I75" i="11"/>
  <c r="E75" i="11"/>
  <c r="D75" i="11"/>
  <c r="P74" i="11"/>
  <c r="O74" i="11"/>
  <c r="O28" i="11" s="1"/>
  <c r="N74" i="11"/>
  <c r="M74" i="11"/>
  <c r="L74" i="11"/>
  <c r="L72" i="11" s="1"/>
  <c r="K74" i="11"/>
  <c r="I74" i="11"/>
  <c r="H74" i="11"/>
  <c r="G74" i="11"/>
  <c r="E74" i="11"/>
  <c r="P73" i="11"/>
  <c r="P72" i="11" s="1"/>
  <c r="O73" i="11"/>
  <c r="O27" i="11" s="1"/>
  <c r="N73" i="11"/>
  <c r="N72" i="11" s="1"/>
  <c r="M73" i="11"/>
  <c r="L73" i="11"/>
  <c r="K73" i="11"/>
  <c r="I73" i="11"/>
  <c r="I72" i="11" s="1"/>
  <c r="H73" i="11"/>
  <c r="G73" i="11"/>
  <c r="E73" i="11"/>
  <c r="O72" i="11"/>
  <c r="D72" i="11"/>
  <c r="P71" i="11"/>
  <c r="O71" i="11"/>
  <c r="O25" i="11" s="1"/>
  <c r="N71" i="11"/>
  <c r="M71" i="11"/>
  <c r="L71" i="11"/>
  <c r="K71" i="11"/>
  <c r="K25" i="11" s="1"/>
  <c r="I71" i="11"/>
  <c r="H71" i="11"/>
  <c r="G71" i="11"/>
  <c r="E71" i="11"/>
  <c r="P70" i="11"/>
  <c r="O70" i="11"/>
  <c r="N70" i="11"/>
  <c r="M70" i="11"/>
  <c r="L70" i="11"/>
  <c r="K70" i="11"/>
  <c r="K24" i="11" s="1"/>
  <c r="I70" i="11"/>
  <c r="H70" i="11"/>
  <c r="H69" i="11" s="1"/>
  <c r="G70" i="11"/>
  <c r="G24" i="11" s="1"/>
  <c r="E70" i="11"/>
  <c r="D69" i="11"/>
  <c r="P68" i="11"/>
  <c r="P22" i="11" s="1"/>
  <c r="O68" i="11"/>
  <c r="O22" i="11" s="1"/>
  <c r="N68" i="11"/>
  <c r="M68" i="11"/>
  <c r="L68" i="11"/>
  <c r="K68" i="11"/>
  <c r="I68" i="11"/>
  <c r="H68" i="11"/>
  <c r="H22" i="11" s="1"/>
  <c r="G68" i="11"/>
  <c r="E68" i="11"/>
  <c r="E22" i="11" s="1"/>
  <c r="P67" i="11"/>
  <c r="O67" i="11"/>
  <c r="N67" i="11"/>
  <c r="M67" i="11"/>
  <c r="L67" i="11"/>
  <c r="L66" i="11" s="1"/>
  <c r="K67" i="11"/>
  <c r="I67" i="11"/>
  <c r="H67" i="11"/>
  <c r="G67" i="11"/>
  <c r="G66" i="11" s="1"/>
  <c r="E67" i="11"/>
  <c r="M66" i="11"/>
  <c r="H66" i="11"/>
  <c r="D66" i="11"/>
  <c r="P65" i="11"/>
  <c r="P19" i="11" s="1"/>
  <c r="O65" i="11"/>
  <c r="O19" i="11" s="1"/>
  <c r="N65" i="11"/>
  <c r="N61" i="11" s="1"/>
  <c r="M65" i="11"/>
  <c r="L65" i="11"/>
  <c r="K65" i="11"/>
  <c r="I65" i="11"/>
  <c r="I19" i="11" s="1"/>
  <c r="H65" i="11"/>
  <c r="G65" i="11"/>
  <c r="E65" i="11"/>
  <c r="P64" i="11"/>
  <c r="O64" i="11"/>
  <c r="O18" i="11" s="1"/>
  <c r="N64" i="11"/>
  <c r="M64" i="11"/>
  <c r="L64" i="11"/>
  <c r="K64" i="11"/>
  <c r="J64" i="11" s="1"/>
  <c r="I64" i="11"/>
  <c r="H64" i="11"/>
  <c r="G64" i="11"/>
  <c r="E64" i="11"/>
  <c r="P63" i="11"/>
  <c r="O63" i="11"/>
  <c r="N63" i="11"/>
  <c r="M63" i="11"/>
  <c r="M61" i="11" s="1"/>
  <c r="L63" i="11"/>
  <c r="L17" i="11" s="1"/>
  <c r="K63" i="11"/>
  <c r="I63" i="11"/>
  <c r="I17" i="11" s="1"/>
  <c r="H63" i="11"/>
  <c r="G63" i="11"/>
  <c r="E63" i="11"/>
  <c r="E17" i="11" s="1"/>
  <c r="P62" i="11"/>
  <c r="O62" i="11"/>
  <c r="O16" i="11" s="1"/>
  <c r="N62" i="11"/>
  <c r="M62" i="11"/>
  <c r="L62" i="11"/>
  <c r="L16" i="11" s="1"/>
  <c r="K62" i="11"/>
  <c r="I62" i="11"/>
  <c r="H62" i="11"/>
  <c r="G62" i="11"/>
  <c r="E62" i="11"/>
  <c r="E16" i="11" s="1"/>
  <c r="I61" i="11"/>
  <c r="D61" i="11"/>
  <c r="P60" i="11"/>
  <c r="P14" i="11" s="1"/>
  <c r="O60" i="11"/>
  <c r="N60" i="11"/>
  <c r="M60" i="11"/>
  <c r="L60" i="11"/>
  <c r="L14" i="11" s="1"/>
  <c r="K60" i="11"/>
  <c r="K14" i="11" s="1"/>
  <c r="I60" i="11"/>
  <c r="I14" i="11" s="1"/>
  <c r="H60" i="11"/>
  <c r="G60" i="11"/>
  <c r="E60" i="11"/>
  <c r="P59" i="11"/>
  <c r="P13" i="11" s="1"/>
  <c r="O59" i="11"/>
  <c r="N59" i="11"/>
  <c r="M59" i="11"/>
  <c r="L59" i="11"/>
  <c r="K59" i="11"/>
  <c r="I59" i="11"/>
  <c r="H59" i="11"/>
  <c r="G59" i="11"/>
  <c r="E59" i="11"/>
  <c r="P58" i="11"/>
  <c r="P12" i="11" s="1"/>
  <c r="O58" i="11"/>
  <c r="N58" i="11"/>
  <c r="N12" i="11" s="1"/>
  <c r="M58" i="11"/>
  <c r="M12" i="11" s="1"/>
  <c r="L58" i="11"/>
  <c r="L12" i="11" s="1"/>
  <c r="K58" i="11"/>
  <c r="K12" i="11" s="1"/>
  <c r="I58" i="11"/>
  <c r="I12" i="11" s="1"/>
  <c r="H58" i="11"/>
  <c r="G58" i="11"/>
  <c r="E58" i="11"/>
  <c r="E12" i="11" s="1"/>
  <c r="K57" i="11"/>
  <c r="H57" i="11"/>
  <c r="D57" i="11"/>
  <c r="J55" i="11"/>
  <c r="F55" i="11"/>
  <c r="J54" i="11"/>
  <c r="F54" i="11"/>
  <c r="J53" i="11"/>
  <c r="F53" i="11"/>
  <c r="P52" i="11"/>
  <c r="O52" i="11"/>
  <c r="N52" i="11"/>
  <c r="M52" i="11"/>
  <c r="L52" i="11"/>
  <c r="K52" i="11"/>
  <c r="I52" i="11"/>
  <c r="H52" i="11"/>
  <c r="G52" i="11"/>
  <c r="E52" i="11"/>
  <c r="J51" i="11"/>
  <c r="F51" i="11"/>
  <c r="J50" i="11"/>
  <c r="F50" i="11"/>
  <c r="P49" i="11"/>
  <c r="O49" i="11"/>
  <c r="N49" i="11"/>
  <c r="M49" i="11"/>
  <c r="L49" i="11"/>
  <c r="K49" i="11"/>
  <c r="I49" i="11"/>
  <c r="H49" i="11"/>
  <c r="G49" i="11"/>
  <c r="E49" i="11"/>
  <c r="J48" i="11"/>
  <c r="F48" i="11"/>
  <c r="J47" i="11"/>
  <c r="F47" i="11"/>
  <c r="P46" i="11"/>
  <c r="O46" i="11"/>
  <c r="N46" i="11"/>
  <c r="M46" i="11"/>
  <c r="L46" i="11"/>
  <c r="K46" i="11"/>
  <c r="I46" i="11"/>
  <c r="H46" i="11"/>
  <c r="G46" i="11"/>
  <c r="E46" i="11"/>
  <c r="J45" i="11"/>
  <c r="F45" i="11"/>
  <c r="J44" i="11"/>
  <c r="F44" i="11"/>
  <c r="P43" i="11"/>
  <c r="O43" i="11"/>
  <c r="N43" i="11"/>
  <c r="M43" i="11"/>
  <c r="L43" i="11"/>
  <c r="K43" i="11"/>
  <c r="I43" i="11"/>
  <c r="H43" i="11"/>
  <c r="G43" i="11"/>
  <c r="E43" i="11"/>
  <c r="J42" i="11"/>
  <c r="F42" i="11"/>
  <c r="J41" i="11"/>
  <c r="F41" i="11"/>
  <c r="J40" i="11"/>
  <c r="F40" i="11"/>
  <c r="D40" i="11" s="1"/>
  <c r="J39" i="11"/>
  <c r="F39" i="11"/>
  <c r="P38" i="11"/>
  <c r="O38" i="11"/>
  <c r="N38" i="11"/>
  <c r="M38" i="11"/>
  <c r="L38" i="11"/>
  <c r="K38" i="11"/>
  <c r="I38" i="11"/>
  <c r="H38" i="11"/>
  <c r="G38" i="11"/>
  <c r="E38" i="11"/>
  <c r="J37" i="11"/>
  <c r="F37" i="11"/>
  <c r="J36" i="11"/>
  <c r="F36" i="11"/>
  <c r="J35" i="11"/>
  <c r="F35" i="11"/>
  <c r="P34" i="11"/>
  <c r="O34" i="11"/>
  <c r="N34" i="11"/>
  <c r="M34" i="11"/>
  <c r="L34" i="11"/>
  <c r="K34" i="11"/>
  <c r="I34" i="11"/>
  <c r="H34" i="11"/>
  <c r="G34" i="11"/>
  <c r="E34" i="11"/>
  <c r="P32" i="11"/>
  <c r="L32" i="11"/>
  <c r="P31" i="11"/>
  <c r="E31" i="11"/>
  <c r="P30" i="11"/>
  <c r="M30" i="11"/>
  <c r="L30" i="11"/>
  <c r="I30" i="11"/>
  <c r="H30" i="11"/>
  <c r="P28" i="11"/>
  <c r="M28" i="11"/>
  <c r="I28" i="11"/>
  <c r="H28" i="11"/>
  <c r="E28" i="11"/>
  <c r="I27" i="11"/>
  <c r="E27" i="11"/>
  <c r="N25" i="11"/>
  <c r="O24" i="11"/>
  <c r="H24" i="11"/>
  <c r="L22" i="11"/>
  <c r="K22" i="11"/>
  <c r="G22" i="11"/>
  <c r="P21" i="11"/>
  <c r="N21" i="11"/>
  <c r="M21" i="11"/>
  <c r="L21" i="11"/>
  <c r="K21" i="11"/>
  <c r="I21" i="11"/>
  <c r="H21" i="11"/>
  <c r="M19" i="11"/>
  <c r="L19" i="11"/>
  <c r="H19" i="11"/>
  <c r="G19" i="11"/>
  <c r="E19" i="11"/>
  <c r="P18" i="11"/>
  <c r="N18" i="11"/>
  <c r="M18" i="11"/>
  <c r="L18" i="11"/>
  <c r="I18" i="11"/>
  <c r="H18" i="11"/>
  <c r="G18" i="11"/>
  <c r="E18" i="11"/>
  <c r="P17" i="11"/>
  <c r="N17" i="11"/>
  <c r="M17" i="11"/>
  <c r="H17" i="11"/>
  <c r="N16" i="11"/>
  <c r="I16" i="11"/>
  <c r="O14" i="11"/>
  <c r="N14" i="11"/>
  <c r="H14" i="11"/>
  <c r="E14" i="11"/>
  <c r="M13" i="11"/>
  <c r="L13" i="11"/>
  <c r="H13" i="11"/>
  <c r="G13" i="11"/>
  <c r="E13" i="11"/>
  <c r="O12" i="11"/>
  <c r="H12" i="11"/>
  <c r="E80" i="10"/>
  <c r="E76" i="10"/>
  <c r="E69" i="10"/>
  <c r="E68" i="10" s="1"/>
  <c r="E52" i="10"/>
  <c r="E49" i="10"/>
  <c r="E39" i="10"/>
  <c r="E38" i="10" s="1"/>
  <c r="E32" i="10"/>
  <c r="E30" i="10"/>
  <c r="E29" i="10"/>
  <c r="E28" i="10"/>
  <c r="E26" i="10"/>
  <c r="E62" i="10" s="1"/>
  <c r="E17" i="10"/>
  <c r="E16" i="10" s="1"/>
  <c r="E34" i="9"/>
  <c r="E33" i="9" s="1"/>
  <c r="E32" i="9"/>
  <c r="E31" i="9" s="1"/>
  <c r="E17" i="9"/>
  <c r="E13" i="9"/>
  <c r="E53" i="8"/>
  <c r="E51" i="8"/>
  <c r="E50" i="8" s="1"/>
  <c r="E49" i="8"/>
  <c r="E48" i="8"/>
  <c r="E47" i="8" s="1"/>
  <c r="E46" i="8"/>
  <c r="E45" i="8"/>
  <c r="E44" i="8"/>
  <c r="E43" i="8" s="1"/>
  <c r="E36" i="8"/>
  <c r="E35" i="8"/>
  <c r="E34" i="8"/>
  <c r="E33" i="8"/>
  <c r="E31" i="8"/>
  <c r="E30" i="8"/>
  <c r="E29" i="8"/>
  <c r="E19" i="8"/>
  <c r="E11" i="8"/>
  <c r="J133" i="7"/>
  <c r="F133" i="7"/>
  <c r="J132" i="7"/>
  <c r="F132" i="7"/>
  <c r="J131" i="7"/>
  <c r="F131" i="7"/>
  <c r="J130" i="7"/>
  <c r="F130" i="7"/>
  <c r="J129" i="7"/>
  <c r="F129" i="7"/>
  <c r="J128" i="7"/>
  <c r="F128" i="7"/>
  <c r="J127" i="7"/>
  <c r="F127" i="7"/>
  <c r="J126" i="7"/>
  <c r="F126" i="7"/>
  <c r="J125" i="7"/>
  <c r="F125" i="7"/>
  <c r="J124" i="7"/>
  <c r="F124" i="7"/>
  <c r="J123" i="7"/>
  <c r="F123" i="7"/>
  <c r="J122" i="7"/>
  <c r="F122" i="7"/>
  <c r="J121" i="7"/>
  <c r="F121" i="7"/>
  <c r="J120" i="7"/>
  <c r="F120" i="7"/>
  <c r="J119" i="7"/>
  <c r="F119" i="7"/>
  <c r="P117" i="7"/>
  <c r="O117" i="7"/>
  <c r="N117" i="7"/>
  <c r="M117" i="7"/>
  <c r="L117" i="7"/>
  <c r="K117" i="7"/>
  <c r="I117" i="7"/>
  <c r="H117" i="7"/>
  <c r="G117" i="7"/>
  <c r="E117" i="7"/>
  <c r="P116" i="7"/>
  <c r="O116" i="7"/>
  <c r="N116" i="7"/>
  <c r="M116" i="7"/>
  <c r="L116" i="7"/>
  <c r="K116" i="7"/>
  <c r="I116" i="7"/>
  <c r="H116" i="7"/>
  <c r="G116" i="7"/>
  <c r="E116" i="7"/>
  <c r="P115" i="7"/>
  <c r="P114" i="7" s="1"/>
  <c r="O115" i="7"/>
  <c r="N115" i="7"/>
  <c r="M115" i="7"/>
  <c r="L115" i="7"/>
  <c r="K115" i="7"/>
  <c r="I115" i="7"/>
  <c r="H115" i="7"/>
  <c r="G115" i="7"/>
  <c r="E115" i="7"/>
  <c r="D114" i="7"/>
  <c r="P113" i="7"/>
  <c r="O113" i="7"/>
  <c r="N113" i="7"/>
  <c r="M113" i="7"/>
  <c r="L113" i="7"/>
  <c r="K113" i="7"/>
  <c r="I113" i="7"/>
  <c r="H113" i="7"/>
  <c r="G113" i="7"/>
  <c r="E113" i="7"/>
  <c r="P112" i="7"/>
  <c r="O112" i="7"/>
  <c r="O111" i="7" s="1"/>
  <c r="N112" i="7"/>
  <c r="M112" i="7"/>
  <c r="L112" i="7"/>
  <c r="K112" i="7"/>
  <c r="I112" i="7"/>
  <c r="H112" i="7"/>
  <c r="G112" i="7"/>
  <c r="E112" i="7"/>
  <c r="D111" i="7"/>
  <c r="P110" i="7"/>
  <c r="O110" i="7"/>
  <c r="N110" i="7"/>
  <c r="M110" i="7"/>
  <c r="L110" i="7"/>
  <c r="K110" i="7"/>
  <c r="I110" i="7"/>
  <c r="H110" i="7"/>
  <c r="G110" i="7"/>
  <c r="E110" i="7"/>
  <c r="P109" i="7"/>
  <c r="O109" i="7"/>
  <c r="N109" i="7"/>
  <c r="M109" i="7"/>
  <c r="L109" i="7"/>
  <c r="K109" i="7"/>
  <c r="I109" i="7"/>
  <c r="H109" i="7"/>
  <c r="G109" i="7"/>
  <c r="E109" i="7"/>
  <c r="D108" i="7"/>
  <c r="P107" i="7"/>
  <c r="P106" i="7" s="1"/>
  <c r="O107" i="7"/>
  <c r="N107" i="7"/>
  <c r="N106" i="7" s="1"/>
  <c r="M107" i="7"/>
  <c r="L107" i="7"/>
  <c r="L106" i="7" s="1"/>
  <c r="K107" i="7"/>
  <c r="K106" i="7" s="1"/>
  <c r="I107" i="7"/>
  <c r="I106" i="7" s="1"/>
  <c r="H107" i="7"/>
  <c r="G107" i="7"/>
  <c r="G106" i="7" s="1"/>
  <c r="E107" i="7"/>
  <c r="M106" i="7"/>
  <c r="D106" i="7"/>
  <c r="P105" i="7"/>
  <c r="O105" i="7"/>
  <c r="N105" i="7"/>
  <c r="M105" i="7"/>
  <c r="L105" i="7"/>
  <c r="K105" i="7"/>
  <c r="I105" i="7"/>
  <c r="H105" i="7"/>
  <c r="G105" i="7"/>
  <c r="E105" i="7"/>
  <c r="P104" i="7"/>
  <c r="O104" i="7"/>
  <c r="N104" i="7"/>
  <c r="M104" i="7"/>
  <c r="L104" i="7"/>
  <c r="K104" i="7"/>
  <c r="I104" i="7"/>
  <c r="H104" i="7"/>
  <c r="G104" i="7"/>
  <c r="E104" i="7"/>
  <c r="P103" i="7"/>
  <c r="O103" i="7"/>
  <c r="N103" i="7"/>
  <c r="M103" i="7"/>
  <c r="L103" i="7"/>
  <c r="K103" i="7"/>
  <c r="I103" i="7"/>
  <c r="H103" i="7"/>
  <c r="G103" i="7"/>
  <c r="E103" i="7"/>
  <c r="P102" i="7"/>
  <c r="O102" i="7"/>
  <c r="N102" i="7"/>
  <c r="M102" i="7"/>
  <c r="L102" i="7"/>
  <c r="K102" i="7"/>
  <c r="I102" i="7"/>
  <c r="H102" i="7"/>
  <c r="G102" i="7"/>
  <c r="E102" i="7"/>
  <c r="D101" i="7"/>
  <c r="P100" i="7"/>
  <c r="O100" i="7"/>
  <c r="N100" i="7"/>
  <c r="M100" i="7"/>
  <c r="L100" i="7"/>
  <c r="K100" i="7"/>
  <c r="I100" i="7"/>
  <c r="H100" i="7"/>
  <c r="G100" i="7"/>
  <c r="F100" i="7" s="1"/>
  <c r="E100" i="7"/>
  <c r="P99" i="7"/>
  <c r="O99" i="7"/>
  <c r="N99" i="7"/>
  <c r="M99" i="7"/>
  <c r="J99" i="7" s="1"/>
  <c r="L99" i="7"/>
  <c r="K99" i="7"/>
  <c r="I99" i="7"/>
  <c r="H99" i="7"/>
  <c r="G99" i="7"/>
  <c r="E99" i="7"/>
  <c r="P98" i="7"/>
  <c r="O98" i="7"/>
  <c r="N98" i="7"/>
  <c r="M98" i="7"/>
  <c r="L98" i="7"/>
  <c r="K98" i="7"/>
  <c r="K97" i="7" s="1"/>
  <c r="I98" i="7"/>
  <c r="H98" i="7"/>
  <c r="G98" i="7"/>
  <c r="E98" i="7"/>
  <c r="D97" i="7"/>
  <c r="J95" i="7"/>
  <c r="F95" i="7"/>
  <c r="J94" i="7"/>
  <c r="F94" i="7"/>
  <c r="J93" i="7"/>
  <c r="F93" i="7"/>
  <c r="J92" i="7"/>
  <c r="F92" i="7"/>
  <c r="J91" i="7"/>
  <c r="F91" i="7"/>
  <c r="J90" i="7"/>
  <c r="F90" i="7"/>
  <c r="J89" i="7"/>
  <c r="F89" i="7"/>
  <c r="J88" i="7"/>
  <c r="F88" i="7"/>
  <c r="J87" i="7"/>
  <c r="F87" i="7"/>
  <c r="J86" i="7"/>
  <c r="F86" i="7"/>
  <c r="D86" i="7" s="1"/>
  <c r="J85" i="7"/>
  <c r="F85" i="7"/>
  <c r="J84" i="7"/>
  <c r="F84" i="7"/>
  <c r="J83" i="7"/>
  <c r="F83" i="7"/>
  <c r="J82" i="7"/>
  <c r="F82" i="7"/>
  <c r="J81" i="7"/>
  <c r="F81" i="7"/>
  <c r="J80" i="7"/>
  <c r="F80" i="7"/>
  <c r="P78" i="7"/>
  <c r="P32" i="7" s="1"/>
  <c r="O78" i="7"/>
  <c r="N78" i="7"/>
  <c r="M78" i="7"/>
  <c r="L78" i="7"/>
  <c r="L32" i="7" s="1"/>
  <c r="K78" i="7"/>
  <c r="I78" i="7"/>
  <c r="H78" i="7"/>
  <c r="G78" i="7"/>
  <c r="G32" i="7" s="1"/>
  <c r="E78" i="7"/>
  <c r="P77" i="7"/>
  <c r="O77" i="7"/>
  <c r="N77" i="7"/>
  <c r="M77" i="7"/>
  <c r="L77" i="7"/>
  <c r="K77" i="7"/>
  <c r="K31" i="7" s="1"/>
  <c r="I77" i="7"/>
  <c r="H77" i="7"/>
  <c r="G77" i="7"/>
  <c r="E77" i="7"/>
  <c r="P76" i="7"/>
  <c r="O76" i="7"/>
  <c r="N76" i="7"/>
  <c r="M76" i="7"/>
  <c r="L76" i="7"/>
  <c r="K76" i="7"/>
  <c r="K30" i="7" s="1"/>
  <c r="I76" i="7"/>
  <c r="H76" i="7"/>
  <c r="G76" i="7"/>
  <c r="E76" i="7"/>
  <c r="E30" i="7" s="1"/>
  <c r="D75" i="7"/>
  <c r="P74" i="7"/>
  <c r="O74" i="7"/>
  <c r="N74" i="7"/>
  <c r="M74" i="7"/>
  <c r="L74" i="7"/>
  <c r="K74" i="7"/>
  <c r="I74" i="7"/>
  <c r="I28" i="7" s="1"/>
  <c r="H74" i="7"/>
  <c r="G74" i="7"/>
  <c r="G28" i="7" s="1"/>
  <c r="E74" i="7"/>
  <c r="P73" i="7"/>
  <c r="O73" i="7"/>
  <c r="N73" i="7"/>
  <c r="M73" i="7"/>
  <c r="L73" i="7"/>
  <c r="K73" i="7"/>
  <c r="I73" i="7"/>
  <c r="H73" i="7"/>
  <c r="G73" i="7"/>
  <c r="E73" i="7"/>
  <c r="D72" i="7"/>
  <c r="P71" i="7"/>
  <c r="P25" i="7" s="1"/>
  <c r="O71" i="7"/>
  <c r="O25" i="7" s="1"/>
  <c r="N71" i="7"/>
  <c r="M71" i="7"/>
  <c r="L71" i="7"/>
  <c r="K71" i="7"/>
  <c r="I71" i="7"/>
  <c r="H71" i="7"/>
  <c r="G71" i="7"/>
  <c r="G25" i="7" s="1"/>
  <c r="E71" i="7"/>
  <c r="P70" i="7"/>
  <c r="O70" i="7"/>
  <c r="N70" i="7"/>
  <c r="M70" i="7"/>
  <c r="L70" i="7"/>
  <c r="K70" i="7"/>
  <c r="I70" i="7"/>
  <c r="H70" i="7"/>
  <c r="G70" i="7"/>
  <c r="E70" i="7"/>
  <c r="D69" i="7"/>
  <c r="P68" i="7"/>
  <c r="O68" i="7"/>
  <c r="N68" i="7"/>
  <c r="M68" i="7"/>
  <c r="L68" i="7"/>
  <c r="K68" i="7"/>
  <c r="I68" i="7"/>
  <c r="H68" i="7"/>
  <c r="H22" i="7" s="1"/>
  <c r="G68" i="7"/>
  <c r="E68" i="7"/>
  <c r="P67" i="7"/>
  <c r="O67" i="7"/>
  <c r="N67" i="7"/>
  <c r="M67" i="7"/>
  <c r="L67" i="7"/>
  <c r="K67" i="7"/>
  <c r="I67" i="7"/>
  <c r="H67" i="7"/>
  <c r="H21" i="7" s="1"/>
  <c r="G67" i="7"/>
  <c r="E67" i="7"/>
  <c r="I66" i="7"/>
  <c r="D66" i="7"/>
  <c r="P65" i="7"/>
  <c r="O65" i="7"/>
  <c r="N65" i="7"/>
  <c r="M65" i="7"/>
  <c r="M19" i="7" s="1"/>
  <c r="L65" i="7"/>
  <c r="K65" i="7"/>
  <c r="I65" i="7"/>
  <c r="H65" i="7"/>
  <c r="H19" i="7" s="1"/>
  <c r="G65" i="7"/>
  <c r="E65" i="7"/>
  <c r="P64" i="7"/>
  <c r="O64" i="7"/>
  <c r="O18" i="7" s="1"/>
  <c r="N64" i="7"/>
  <c r="M64" i="7"/>
  <c r="L64" i="7"/>
  <c r="K64" i="7"/>
  <c r="I64" i="7"/>
  <c r="H64" i="7"/>
  <c r="G64" i="7"/>
  <c r="E64" i="7"/>
  <c r="E18" i="7" s="1"/>
  <c r="P63" i="7"/>
  <c r="O63" i="7"/>
  <c r="N63" i="7"/>
  <c r="M63" i="7"/>
  <c r="L63" i="7"/>
  <c r="K63" i="7"/>
  <c r="I63" i="7"/>
  <c r="H63" i="7"/>
  <c r="G63" i="7"/>
  <c r="E63" i="7"/>
  <c r="P62" i="7"/>
  <c r="P61" i="7" s="1"/>
  <c r="O62" i="7"/>
  <c r="O16" i="7" s="1"/>
  <c r="N62" i="7"/>
  <c r="M62" i="7"/>
  <c r="L62" i="7"/>
  <c r="K62" i="7"/>
  <c r="I62" i="7"/>
  <c r="H62" i="7"/>
  <c r="H16" i="7" s="1"/>
  <c r="G62" i="7"/>
  <c r="E62" i="7"/>
  <c r="D61" i="7"/>
  <c r="P60" i="7"/>
  <c r="O60" i="7"/>
  <c r="N60" i="7"/>
  <c r="N14" i="7" s="1"/>
  <c r="M60" i="7"/>
  <c r="L60" i="7"/>
  <c r="K60" i="7"/>
  <c r="I60" i="7"/>
  <c r="H60" i="7"/>
  <c r="G60" i="7"/>
  <c r="E60" i="7"/>
  <c r="P59" i="7"/>
  <c r="O59" i="7"/>
  <c r="N59" i="7"/>
  <c r="M59" i="7"/>
  <c r="L59" i="7"/>
  <c r="K59" i="7"/>
  <c r="I59" i="7"/>
  <c r="H59" i="7"/>
  <c r="G59" i="7"/>
  <c r="E59" i="7"/>
  <c r="P58" i="7"/>
  <c r="P12" i="7" s="1"/>
  <c r="O58" i="7"/>
  <c r="N58" i="7"/>
  <c r="M58" i="7"/>
  <c r="L58" i="7"/>
  <c r="L12" i="7" s="1"/>
  <c r="K58" i="7"/>
  <c r="I58" i="7"/>
  <c r="H58" i="7"/>
  <c r="G58" i="7"/>
  <c r="E58" i="7"/>
  <c r="E12" i="7" s="1"/>
  <c r="D57" i="7"/>
  <c r="J55" i="7"/>
  <c r="F55" i="7"/>
  <c r="J54" i="7"/>
  <c r="F54" i="7"/>
  <c r="J53" i="7"/>
  <c r="F53" i="7"/>
  <c r="P52" i="7"/>
  <c r="O52" i="7"/>
  <c r="N52" i="7"/>
  <c r="M52" i="7"/>
  <c r="L52" i="7"/>
  <c r="K52" i="7"/>
  <c r="I52" i="7"/>
  <c r="H52" i="7"/>
  <c r="G52" i="7"/>
  <c r="E52" i="7"/>
  <c r="J51" i="7"/>
  <c r="F51" i="7"/>
  <c r="J50" i="7"/>
  <c r="F50" i="7"/>
  <c r="P49" i="7"/>
  <c r="O49" i="7"/>
  <c r="N49" i="7"/>
  <c r="M49" i="7"/>
  <c r="L49" i="7"/>
  <c r="K49" i="7"/>
  <c r="I49" i="7"/>
  <c r="H49" i="7"/>
  <c r="G49" i="7"/>
  <c r="E49" i="7"/>
  <c r="J48" i="7"/>
  <c r="F48" i="7"/>
  <c r="J47" i="7"/>
  <c r="F47" i="7"/>
  <c r="P46" i="7"/>
  <c r="O46" i="7"/>
  <c r="N46" i="7"/>
  <c r="M46" i="7"/>
  <c r="L46" i="7"/>
  <c r="K46" i="7"/>
  <c r="I46" i="7"/>
  <c r="H46" i="7"/>
  <c r="G46" i="7"/>
  <c r="E46" i="7"/>
  <c r="J45" i="7"/>
  <c r="F45" i="7"/>
  <c r="J44" i="7"/>
  <c r="F44" i="7"/>
  <c r="P43" i="7"/>
  <c r="O43" i="7"/>
  <c r="N43" i="7"/>
  <c r="M43" i="7"/>
  <c r="L43" i="7"/>
  <c r="K43" i="7"/>
  <c r="I43" i="7"/>
  <c r="H43" i="7"/>
  <c r="G43" i="7"/>
  <c r="E43" i="7"/>
  <c r="J42" i="7"/>
  <c r="F42" i="7"/>
  <c r="J41" i="7"/>
  <c r="F41" i="7"/>
  <c r="J40" i="7"/>
  <c r="F40" i="7"/>
  <c r="J39" i="7"/>
  <c r="F39" i="7"/>
  <c r="P38" i="7"/>
  <c r="O38" i="7"/>
  <c r="N38" i="7"/>
  <c r="M38" i="7"/>
  <c r="L38" i="7"/>
  <c r="K38" i="7"/>
  <c r="I38" i="7"/>
  <c r="H38" i="7"/>
  <c r="G38" i="7"/>
  <c r="E38" i="7"/>
  <c r="J37" i="7"/>
  <c r="F37" i="7"/>
  <c r="J36" i="7"/>
  <c r="F36" i="7"/>
  <c r="J35" i="7"/>
  <c r="F35" i="7"/>
  <c r="P34" i="7"/>
  <c r="O34" i="7"/>
  <c r="N34" i="7"/>
  <c r="M34" i="7"/>
  <c r="L34" i="7"/>
  <c r="K34" i="7"/>
  <c r="I34" i="7"/>
  <c r="H34" i="7"/>
  <c r="G34" i="7"/>
  <c r="E34" i="7"/>
  <c r="N32" i="7"/>
  <c r="M32" i="7"/>
  <c r="I32" i="7"/>
  <c r="H32" i="7"/>
  <c r="P31" i="7"/>
  <c r="O31" i="7"/>
  <c r="N31" i="7"/>
  <c r="L31" i="7"/>
  <c r="I31" i="7"/>
  <c r="G31" i="7"/>
  <c r="E31" i="7"/>
  <c r="P30" i="7"/>
  <c r="N30" i="7"/>
  <c r="M30" i="7"/>
  <c r="L30" i="7"/>
  <c r="I30" i="7"/>
  <c r="H30" i="7"/>
  <c r="G30" i="7"/>
  <c r="P28" i="7"/>
  <c r="O28" i="7"/>
  <c r="M28" i="7"/>
  <c r="L28" i="7"/>
  <c r="K28" i="7"/>
  <c r="H28" i="7"/>
  <c r="E28" i="7"/>
  <c r="O27" i="7"/>
  <c r="N27" i="7"/>
  <c r="M27" i="7"/>
  <c r="K27" i="7"/>
  <c r="I27" i="7"/>
  <c r="E27" i="7"/>
  <c r="N25" i="7"/>
  <c r="L25" i="7"/>
  <c r="K25" i="7"/>
  <c r="I25" i="7"/>
  <c r="E25" i="7"/>
  <c r="P24" i="7"/>
  <c r="N24" i="7"/>
  <c r="M24" i="7"/>
  <c r="L24" i="7"/>
  <c r="I24" i="7"/>
  <c r="H24" i="7"/>
  <c r="G24" i="7"/>
  <c r="P22" i="7"/>
  <c r="O22" i="7"/>
  <c r="N22" i="7"/>
  <c r="M22" i="7"/>
  <c r="L22" i="7"/>
  <c r="K22" i="7"/>
  <c r="I22" i="7"/>
  <c r="G22" i="7"/>
  <c r="E22" i="7"/>
  <c r="P21" i="7"/>
  <c r="M21" i="7"/>
  <c r="L21" i="7"/>
  <c r="G21" i="7"/>
  <c r="P19" i="7"/>
  <c r="O19" i="7"/>
  <c r="N19" i="7"/>
  <c r="K19" i="7"/>
  <c r="I19" i="7"/>
  <c r="P18" i="7"/>
  <c r="N18" i="7"/>
  <c r="M18" i="7"/>
  <c r="L18" i="7"/>
  <c r="I18" i="7"/>
  <c r="H18" i="7"/>
  <c r="G18" i="7"/>
  <c r="P17" i="7"/>
  <c r="O17" i="7"/>
  <c r="L17" i="7"/>
  <c r="K17" i="7"/>
  <c r="G17" i="7"/>
  <c r="E17" i="7"/>
  <c r="P16" i="7"/>
  <c r="N16" i="7"/>
  <c r="L16" i="7"/>
  <c r="I16" i="7"/>
  <c r="P14" i="7"/>
  <c r="O14" i="7"/>
  <c r="L14" i="7"/>
  <c r="K14" i="7"/>
  <c r="H14" i="7"/>
  <c r="G14" i="7"/>
  <c r="P13" i="7"/>
  <c r="O13" i="7"/>
  <c r="L13" i="7"/>
  <c r="K13" i="7"/>
  <c r="H13" i="7"/>
  <c r="G13" i="7"/>
  <c r="E13" i="7"/>
  <c r="O12" i="7"/>
  <c r="N12" i="7"/>
  <c r="M12" i="7"/>
  <c r="K12" i="7"/>
  <c r="I12" i="7"/>
  <c r="H12" i="7"/>
  <c r="D11" i="6"/>
  <c r="D230" i="5"/>
  <c r="D213" i="5"/>
  <c r="D210" i="5"/>
  <c r="D206" i="5"/>
  <c r="D201" i="5"/>
  <c r="D194" i="5"/>
  <c r="D192" i="5"/>
  <c r="D189" i="5"/>
  <c r="D187" i="5"/>
  <c r="J185" i="5"/>
  <c r="F185" i="5"/>
  <c r="J184" i="5"/>
  <c r="F184" i="5"/>
  <c r="J183" i="5"/>
  <c r="F183" i="5"/>
  <c r="J182" i="5"/>
  <c r="F182" i="5"/>
  <c r="J181" i="5"/>
  <c r="F181" i="5"/>
  <c r="J180" i="5"/>
  <c r="F180" i="5"/>
  <c r="J179" i="5"/>
  <c r="F179" i="5"/>
  <c r="J178" i="5"/>
  <c r="F178" i="5"/>
  <c r="J177" i="5"/>
  <c r="F177" i="5"/>
  <c r="J176" i="5"/>
  <c r="F176" i="5"/>
  <c r="J175" i="5"/>
  <c r="F175" i="5"/>
  <c r="J174" i="5"/>
  <c r="F174" i="5"/>
  <c r="J173" i="5"/>
  <c r="F173" i="5"/>
  <c r="J172" i="5"/>
  <c r="F172" i="5"/>
  <c r="J171" i="5"/>
  <c r="F171" i="5"/>
  <c r="J170" i="5"/>
  <c r="F170" i="5"/>
  <c r="J168" i="5"/>
  <c r="F168" i="5"/>
  <c r="J167" i="5"/>
  <c r="F167" i="5"/>
  <c r="J165" i="5"/>
  <c r="F165" i="5"/>
  <c r="J164" i="5"/>
  <c r="F164" i="5"/>
  <c r="J163" i="5"/>
  <c r="F163" i="5"/>
  <c r="J161" i="5"/>
  <c r="F161" i="5"/>
  <c r="J160" i="5"/>
  <c r="F160" i="5"/>
  <c r="J159" i="5"/>
  <c r="F159" i="5"/>
  <c r="J158" i="5"/>
  <c r="F158" i="5"/>
  <c r="J156" i="5"/>
  <c r="F156" i="5"/>
  <c r="J155" i="5"/>
  <c r="F155" i="5"/>
  <c r="J154" i="5"/>
  <c r="F154" i="5"/>
  <c r="J153" i="5"/>
  <c r="F153" i="5"/>
  <c r="J152" i="5"/>
  <c r="F152" i="5"/>
  <c r="J151" i="5"/>
  <c r="F151" i="5"/>
  <c r="J149" i="5"/>
  <c r="F149" i="5"/>
  <c r="F98" i="5" s="1"/>
  <c r="J147" i="5"/>
  <c r="F147" i="5"/>
  <c r="J146" i="5"/>
  <c r="F146" i="5"/>
  <c r="J144" i="5"/>
  <c r="F144" i="5"/>
  <c r="J143" i="5"/>
  <c r="F143" i="5"/>
  <c r="P140" i="5"/>
  <c r="O140" i="5"/>
  <c r="N140" i="5"/>
  <c r="M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P134" i="5" s="1"/>
  <c r="O137" i="5"/>
  <c r="N137" i="5"/>
  <c r="M137" i="5"/>
  <c r="L137" i="5"/>
  <c r="K137" i="5"/>
  <c r="I137" i="5"/>
  <c r="H137" i="5"/>
  <c r="G137" i="5"/>
  <c r="E137" i="5"/>
  <c r="P136" i="5"/>
  <c r="O136" i="5"/>
  <c r="N136" i="5"/>
  <c r="M136" i="5"/>
  <c r="L136" i="5"/>
  <c r="K136" i="5"/>
  <c r="I136" i="5"/>
  <c r="H136" i="5"/>
  <c r="G136" i="5"/>
  <c r="E136" i="5"/>
  <c r="P135" i="5"/>
  <c r="O135" i="5"/>
  <c r="N135" i="5"/>
  <c r="M135" i="5"/>
  <c r="L135" i="5"/>
  <c r="K135" i="5"/>
  <c r="I135" i="5"/>
  <c r="H135" i="5"/>
  <c r="G135" i="5"/>
  <c r="F135" i="5" s="1"/>
  <c r="E135" i="5"/>
  <c r="E134" i="5" s="1"/>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F123" i="5" s="1"/>
  <c r="E123" i="5"/>
  <c r="P122" i="5"/>
  <c r="O122" i="5"/>
  <c r="N122" i="5"/>
  <c r="M122" i="5"/>
  <c r="L122" i="5"/>
  <c r="K122" i="5"/>
  <c r="I122" i="5"/>
  <c r="H122" i="5"/>
  <c r="G122" i="5"/>
  <c r="E122" i="5"/>
  <c r="P121" i="5"/>
  <c r="O121" i="5"/>
  <c r="N121" i="5"/>
  <c r="M121" i="5"/>
  <c r="L121" i="5"/>
  <c r="K121" i="5"/>
  <c r="I121" i="5"/>
  <c r="H121" i="5"/>
  <c r="G121" i="5"/>
  <c r="F121" i="5" s="1"/>
  <c r="E121" i="5"/>
  <c r="P120" i="5"/>
  <c r="O120" i="5"/>
  <c r="N120" i="5"/>
  <c r="M120" i="5"/>
  <c r="L120" i="5"/>
  <c r="K120" i="5"/>
  <c r="I120" i="5"/>
  <c r="H120" i="5"/>
  <c r="G120" i="5"/>
  <c r="E120" i="5"/>
  <c r="P119" i="5"/>
  <c r="O119" i="5"/>
  <c r="N119" i="5"/>
  <c r="M119" i="5"/>
  <c r="L119" i="5"/>
  <c r="K119" i="5"/>
  <c r="I119" i="5"/>
  <c r="H119" i="5"/>
  <c r="G119" i="5"/>
  <c r="E119" i="5"/>
  <c r="D118" i="5"/>
  <c r="P117" i="5"/>
  <c r="O117" i="5"/>
  <c r="N117" i="5"/>
  <c r="M117" i="5"/>
  <c r="L117" i="5"/>
  <c r="K117" i="5"/>
  <c r="I117" i="5"/>
  <c r="H117" i="5"/>
  <c r="G117" i="5"/>
  <c r="E117" i="5"/>
  <c r="P116" i="5"/>
  <c r="P115" i="5" s="1"/>
  <c r="O116" i="5"/>
  <c r="N116" i="5"/>
  <c r="M116" i="5"/>
  <c r="L116" i="5"/>
  <c r="K116" i="5"/>
  <c r="I116" i="5"/>
  <c r="H116" i="5"/>
  <c r="G116" i="5"/>
  <c r="E116" i="5"/>
  <c r="D115" i="5"/>
  <c r="P114" i="5"/>
  <c r="O114" i="5"/>
  <c r="N114" i="5"/>
  <c r="M114" i="5"/>
  <c r="L114" i="5"/>
  <c r="K114" i="5"/>
  <c r="I114" i="5"/>
  <c r="H114" i="5"/>
  <c r="G114" i="5"/>
  <c r="E114" i="5"/>
  <c r="P113" i="5"/>
  <c r="O113" i="5"/>
  <c r="N113" i="5"/>
  <c r="M113" i="5"/>
  <c r="L113" i="5"/>
  <c r="K113" i="5"/>
  <c r="I113" i="5"/>
  <c r="H113" i="5"/>
  <c r="G113" i="5"/>
  <c r="E113" i="5"/>
  <c r="P112" i="5"/>
  <c r="O112" i="5"/>
  <c r="N112" i="5"/>
  <c r="M112" i="5"/>
  <c r="L112" i="5"/>
  <c r="K112" i="5"/>
  <c r="I112" i="5"/>
  <c r="H112" i="5"/>
  <c r="G112" i="5"/>
  <c r="E112" i="5"/>
  <c r="D111" i="5"/>
  <c r="P110" i="5"/>
  <c r="O110" i="5"/>
  <c r="N110" i="5"/>
  <c r="M110" i="5"/>
  <c r="L110" i="5"/>
  <c r="K110" i="5"/>
  <c r="I110" i="5"/>
  <c r="H110" i="5"/>
  <c r="G110" i="5"/>
  <c r="E110" i="5"/>
  <c r="P109" i="5"/>
  <c r="O109" i="5"/>
  <c r="N109" i="5"/>
  <c r="M109" i="5"/>
  <c r="L109" i="5"/>
  <c r="K109" i="5"/>
  <c r="I109" i="5"/>
  <c r="H109" i="5"/>
  <c r="G109" i="5"/>
  <c r="E109" i="5"/>
  <c r="P108" i="5"/>
  <c r="O108" i="5"/>
  <c r="N108" i="5"/>
  <c r="M108" i="5"/>
  <c r="L108" i="5"/>
  <c r="K108" i="5"/>
  <c r="I108" i="5"/>
  <c r="H108" i="5"/>
  <c r="G108" i="5"/>
  <c r="E108" i="5"/>
  <c r="P107" i="5"/>
  <c r="O107" i="5"/>
  <c r="N107" i="5"/>
  <c r="M107" i="5"/>
  <c r="L107" i="5"/>
  <c r="K107" i="5"/>
  <c r="I107" i="5"/>
  <c r="H107" i="5"/>
  <c r="G107" i="5"/>
  <c r="E107" i="5"/>
  <c r="D106" i="5"/>
  <c r="P105" i="5"/>
  <c r="O105" i="5"/>
  <c r="N105" i="5"/>
  <c r="M105" i="5"/>
  <c r="L105" i="5"/>
  <c r="K105" i="5"/>
  <c r="I105" i="5"/>
  <c r="H105" i="5"/>
  <c r="G105" i="5"/>
  <c r="F105" i="5"/>
  <c r="E105" i="5"/>
  <c r="P104" i="5"/>
  <c r="O104" i="5"/>
  <c r="N104" i="5"/>
  <c r="M104" i="5"/>
  <c r="L104" i="5"/>
  <c r="K104" i="5"/>
  <c r="I104" i="5"/>
  <c r="H104" i="5"/>
  <c r="G104" i="5"/>
  <c r="F104" i="5"/>
  <c r="E104" i="5"/>
  <c r="P103" i="5"/>
  <c r="O103" i="5"/>
  <c r="N103" i="5"/>
  <c r="M103" i="5"/>
  <c r="L103" i="5"/>
  <c r="K103" i="5"/>
  <c r="I103" i="5"/>
  <c r="H103" i="5"/>
  <c r="G103" i="5"/>
  <c r="F103" i="5"/>
  <c r="E103" i="5"/>
  <c r="P102" i="5"/>
  <c r="O102" i="5"/>
  <c r="N102" i="5"/>
  <c r="M102" i="5"/>
  <c r="L102" i="5"/>
  <c r="K102" i="5"/>
  <c r="I102" i="5"/>
  <c r="H102" i="5"/>
  <c r="G102" i="5"/>
  <c r="F102" i="5"/>
  <c r="E102" i="5"/>
  <c r="P101" i="5"/>
  <c r="O101" i="5"/>
  <c r="N101" i="5"/>
  <c r="M101" i="5"/>
  <c r="L101" i="5"/>
  <c r="K101" i="5"/>
  <c r="I101" i="5"/>
  <c r="H101" i="5"/>
  <c r="G101" i="5"/>
  <c r="F101" i="5"/>
  <c r="E101" i="5"/>
  <c r="P100" i="5"/>
  <c r="O100" i="5"/>
  <c r="N100" i="5"/>
  <c r="M100" i="5"/>
  <c r="L100" i="5"/>
  <c r="K100" i="5"/>
  <c r="I100" i="5"/>
  <c r="H100" i="5"/>
  <c r="G100" i="5"/>
  <c r="F100" i="5"/>
  <c r="E100" i="5"/>
  <c r="D99" i="5"/>
  <c r="P98" i="5"/>
  <c r="P97" i="5" s="1"/>
  <c r="O98" i="5"/>
  <c r="O97" i="5" s="1"/>
  <c r="N98" i="5"/>
  <c r="N97" i="5" s="1"/>
  <c r="M98" i="5"/>
  <c r="M97" i="5" s="1"/>
  <c r="L98" i="5"/>
  <c r="L97" i="5" s="1"/>
  <c r="K98" i="5"/>
  <c r="K97" i="5" s="1"/>
  <c r="I98" i="5"/>
  <c r="H98" i="5"/>
  <c r="H97" i="5" s="1"/>
  <c r="G98" i="5"/>
  <c r="G97" i="5" s="1"/>
  <c r="E98" i="5"/>
  <c r="I97" i="5"/>
  <c r="E97" i="5"/>
  <c r="D97" i="5"/>
  <c r="P96" i="5"/>
  <c r="O96" i="5"/>
  <c r="N96" i="5"/>
  <c r="M96" i="5"/>
  <c r="L96" i="5"/>
  <c r="K96" i="5"/>
  <c r="I96" i="5"/>
  <c r="H96" i="5"/>
  <c r="G96" i="5"/>
  <c r="E96" i="5"/>
  <c r="P95" i="5"/>
  <c r="O95" i="5"/>
  <c r="N95" i="5"/>
  <c r="M95" i="5"/>
  <c r="L95" i="5"/>
  <c r="K95" i="5"/>
  <c r="I95" i="5"/>
  <c r="H95" i="5"/>
  <c r="G95" i="5"/>
  <c r="E95" i="5"/>
  <c r="G94" i="5"/>
  <c r="D94" i="5"/>
  <c r="P93" i="5"/>
  <c r="O93" i="5"/>
  <c r="N93" i="5"/>
  <c r="N91" i="5" s="1"/>
  <c r="M93" i="5"/>
  <c r="L93" i="5"/>
  <c r="K93" i="5"/>
  <c r="I93" i="5"/>
  <c r="H93" i="5"/>
  <c r="G93" i="5"/>
  <c r="E93" i="5"/>
  <c r="P92" i="5"/>
  <c r="P28" i="5" s="1"/>
  <c r="O92" i="5"/>
  <c r="O28" i="5" s="1"/>
  <c r="N92" i="5"/>
  <c r="M92" i="5"/>
  <c r="L92" i="5"/>
  <c r="K92" i="5"/>
  <c r="K14" i="5" s="1"/>
  <c r="I92" i="5"/>
  <c r="I14" i="5" s="1"/>
  <c r="H92" i="5"/>
  <c r="G92" i="5"/>
  <c r="E92" i="5"/>
  <c r="D91" i="5"/>
  <c r="J89" i="5"/>
  <c r="F89" i="5"/>
  <c r="J88" i="5"/>
  <c r="F88" i="5"/>
  <c r="J87" i="5"/>
  <c r="F87" i="5"/>
  <c r="J86" i="5"/>
  <c r="F86" i="5"/>
  <c r="J85" i="5"/>
  <c r="F85" i="5"/>
  <c r="J84" i="5"/>
  <c r="F84" i="5"/>
  <c r="J83" i="5"/>
  <c r="F83" i="5"/>
  <c r="P82" i="5"/>
  <c r="O82" i="5"/>
  <c r="N82" i="5"/>
  <c r="M82" i="5"/>
  <c r="L82" i="5"/>
  <c r="K82" i="5"/>
  <c r="I82" i="5"/>
  <c r="H82" i="5"/>
  <c r="G82" i="5"/>
  <c r="E82" i="5"/>
  <c r="J81" i="5"/>
  <c r="F81" i="5"/>
  <c r="J80" i="5"/>
  <c r="F80" i="5"/>
  <c r="J79" i="5"/>
  <c r="F79" i="5"/>
  <c r="J78" i="5"/>
  <c r="F78" i="5"/>
  <c r="J77" i="5"/>
  <c r="F77" i="5"/>
  <c r="J76" i="5"/>
  <c r="F76" i="5"/>
  <c r="J75" i="5"/>
  <c r="F75" i="5"/>
  <c r="J74" i="5"/>
  <c r="F74" i="5"/>
  <c r="J73" i="5"/>
  <c r="F73" i="5"/>
  <c r="J72" i="5"/>
  <c r="F72" i="5"/>
  <c r="J71" i="5"/>
  <c r="F71" i="5"/>
  <c r="J70" i="5"/>
  <c r="F70" i="5"/>
  <c r="J69" i="5"/>
  <c r="F69" i="5"/>
  <c r="J68" i="5"/>
  <c r="F68" i="5"/>
  <c r="J67" i="5"/>
  <c r="F67" i="5"/>
  <c r="P66" i="5"/>
  <c r="O66" i="5"/>
  <c r="N66" i="5"/>
  <c r="M66" i="5"/>
  <c r="L66" i="5"/>
  <c r="K66" i="5"/>
  <c r="I66" i="5"/>
  <c r="H66" i="5"/>
  <c r="G66" i="5"/>
  <c r="E66" i="5"/>
  <c r="J65" i="5"/>
  <c r="F65" i="5"/>
  <c r="J64" i="5"/>
  <c r="F64" i="5"/>
  <c r="P63" i="5"/>
  <c r="O63" i="5"/>
  <c r="N63" i="5"/>
  <c r="M63" i="5"/>
  <c r="L63" i="5"/>
  <c r="K63" i="5"/>
  <c r="I63" i="5"/>
  <c r="H63" i="5"/>
  <c r="G63" i="5"/>
  <c r="E63" i="5"/>
  <c r="J62" i="5"/>
  <c r="F62" i="5"/>
  <c r="J61" i="5"/>
  <c r="D61" i="5" s="1"/>
  <c r="F61" i="5"/>
  <c r="J60" i="5"/>
  <c r="F60" i="5"/>
  <c r="J59" i="5"/>
  <c r="F59" i="5"/>
  <c r="J58" i="5"/>
  <c r="F58" i="5"/>
  <c r="P57" i="5"/>
  <c r="O57" i="5"/>
  <c r="N57" i="5"/>
  <c r="M57" i="5"/>
  <c r="L57" i="5"/>
  <c r="K57" i="5"/>
  <c r="I57" i="5"/>
  <c r="H57" i="5"/>
  <c r="G57" i="5"/>
  <c r="E57" i="5"/>
  <c r="J56" i="5"/>
  <c r="F56" i="5"/>
  <c r="J55" i="5"/>
  <c r="F55" i="5"/>
  <c r="J54" i="5"/>
  <c r="F54" i="5"/>
  <c r="J53" i="5"/>
  <c r="E30" i="9" s="1"/>
  <c r="F53" i="5"/>
  <c r="E28" i="9" s="1"/>
  <c r="P52" i="5"/>
  <c r="O52" i="5"/>
  <c r="N52" i="5"/>
  <c r="M52" i="5"/>
  <c r="L52" i="5"/>
  <c r="K52" i="5"/>
  <c r="I52" i="5"/>
  <c r="H52" i="5"/>
  <c r="G52" i="5"/>
  <c r="E52" i="5"/>
  <c r="J51" i="5"/>
  <c r="F51" i="5"/>
  <c r="J50" i="5"/>
  <c r="F50" i="5"/>
  <c r="J49" i="5"/>
  <c r="F49" i="5"/>
  <c r="J48" i="5"/>
  <c r="F48" i="5"/>
  <c r="J47" i="5"/>
  <c r="F47" i="5"/>
  <c r="J46" i="5"/>
  <c r="F46" i="5"/>
  <c r="P45" i="5"/>
  <c r="O45" i="5"/>
  <c r="N45" i="5"/>
  <c r="M45" i="5"/>
  <c r="L45" i="5"/>
  <c r="K45" i="5"/>
  <c r="I45" i="5"/>
  <c r="H45" i="5"/>
  <c r="G45" i="5"/>
  <c r="E45" i="5"/>
  <c r="J44" i="5"/>
  <c r="F44" i="5"/>
  <c r="P43" i="5"/>
  <c r="O43" i="5"/>
  <c r="N43" i="5"/>
  <c r="M43" i="5"/>
  <c r="L43" i="5"/>
  <c r="K43" i="5"/>
  <c r="J43" i="5" s="1"/>
  <c r="I43" i="5"/>
  <c r="H43" i="5"/>
  <c r="G43" i="5"/>
  <c r="E43" i="5"/>
  <c r="J42" i="5"/>
  <c r="F42" i="5"/>
  <c r="J41" i="5"/>
  <c r="F41" i="5"/>
  <c r="P40" i="5"/>
  <c r="O40" i="5"/>
  <c r="N40" i="5"/>
  <c r="M40" i="5"/>
  <c r="L40" i="5"/>
  <c r="K40" i="5"/>
  <c r="I40" i="5"/>
  <c r="H40" i="5"/>
  <c r="G40" i="5"/>
  <c r="E40" i="5"/>
  <c r="J39" i="5"/>
  <c r="F39" i="5"/>
  <c r="J38" i="5"/>
  <c r="F38" i="5"/>
  <c r="P37" i="5"/>
  <c r="O37" i="5"/>
  <c r="O15" i="5" s="1"/>
  <c r="N37" i="5"/>
  <c r="N15" i="5" s="1"/>
  <c r="M37" i="5"/>
  <c r="M15" i="5" s="1"/>
  <c r="L37" i="5"/>
  <c r="K37" i="5"/>
  <c r="K15" i="5" s="1"/>
  <c r="I37" i="5"/>
  <c r="I15" i="5" s="1"/>
  <c r="H37" i="5"/>
  <c r="F37" i="5" s="1"/>
  <c r="G37" i="5"/>
  <c r="E37" i="5"/>
  <c r="E15" i="5" s="1"/>
  <c r="J36" i="5"/>
  <c r="F36" i="5"/>
  <c r="J35" i="5"/>
  <c r="F35" i="5"/>
  <c r="P34" i="5"/>
  <c r="O34" i="5"/>
  <c r="N34" i="5"/>
  <c r="M34" i="5"/>
  <c r="L34" i="5"/>
  <c r="K34" i="5"/>
  <c r="I34" i="5"/>
  <c r="H34" i="5"/>
  <c r="G34" i="5"/>
  <c r="E34" i="5"/>
  <c r="J33" i="5"/>
  <c r="D33" i="5" s="1"/>
  <c r="J32" i="5"/>
  <c r="D32" i="5" s="1"/>
  <c r="N31" i="5"/>
  <c r="M31" i="5"/>
  <c r="M12" i="5" s="1"/>
  <c r="L31" i="5"/>
  <c r="K31" i="5"/>
  <c r="K12" i="5" s="1"/>
  <c r="I31" i="5"/>
  <c r="I12" i="5" s="1"/>
  <c r="H31" i="5"/>
  <c r="H28" i="5" s="1"/>
  <c r="G31" i="5"/>
  <c r="G12" i="5" s="1"/>
  <c r="E31" i="5"/>
  <c r="E12" i="5" s="1"/>
  <c r="J30" i="5"/>
  <c r="J11" i="5" s="1"/>
  <c r="F30" i="5"/>
  <c r="F11" i="5" s="1"/>
  <c r="G15" i="5"/>
  <c r="P14" i="5"/>
  <c r="N14" i="5"/>
  <c r="M14" i="5"/>
  <c r="L14" i="5"/>
  <c r="H14" i="5"/>
  <c r="G14" i="5"/>
  <c r="P12" i="5"/>
  <c r="O12" i="5"/>
  <c r="F12" i="5"/>
  <c r="P11" i="5"/>
  <c r="O11" i="5"/>
  <c r="N11" i="5"/>
  <c r="M11" i="5"/>
  <c r="L11" i="5"/>
  <c r="K11" i="5"/>
  <c r="I11" i="5"/>
  <c r="H11" i="5"/>
  <c r="G11" i="5"/>
  <c r="E11" i="5"/>
  <c r="D88" i="4"/>
  <c r="D53" i="4"/>
  <c r="D38" i="4"/>
  <c r="D35" i="4"/>
  <c r="D31" i="4"/>
  <c r="D27" i="4"/>
  <c r="D12" i="4"/>
  <c r="D32" i="3"/>
  <c r="D17" i="3"/>
  <c r="F92" i="5" l="1"/>
  <c r="J96" i="5"/>
  <c r="K115" i="5"/>
  <c r="F137" i="5"/>
  <c r="I21" i="7"/>
  <c r="K21" i="7"/>
  <c r="N21" i="7"/>
  <c r="N20" i="7" s="1"/>
  <c r="N134" i="5"/>
  <c r="M111" i="5"/>
  <c r="J114" i="5"/>
  <c r="F78" i="11"/>
  <c r="J78" i="11"/>
  <c r="O69" i="11"/>
  <c r="L69" i="7"/>
  <c r="P66" i="11"/>
  <c r="P61" i="11"/>
  <c r="O75" i="11"/>
  <c r="O66" i="11"/>
  <c r="O21" i="11"/>
  <c r="O57" i="11"/>
  <c r="N27" i="11"/>
  <c r="N19" i="11"/>
  <c r="M75" i="11"/>
  <c r="M72" i="11"/>
  <c r="M57" i="11"/>
  <c r="J77" i="11"/>
  <c r="L28" i="11"/>
  <c r="D87" i="11"/>
  <c r="J65" i="11"/>
  <c r="J63" i="11"/>
  <c r="D84" i="11"/>
  <c r="D95" i="11"/>
  <c r="D94" i="11"/>
  <c r="J75" i="11"/>
  <c r="J76" i="11"/>
  <c r="D92" i="11"/>
  <c r="D91" i="11"/>
  <c r="D90" i="11"/>
  <c r="K66" i="11"/>
  <c r="D88" i="11"/>
  <c r="D86" i="11"/>
  <c r="D83" i="11"/>
  <c r="D82" i="11"/>
  <c r="D80" i="11"/>
  <c r="F77" i="11"/>
  <c r="F76" i="11"/>
  <c r="I69" i="11"/>
  <c r="D89" i="11"/>
  <c r="F58" i="11"/>
  <c r="H75" i="11"/>
  <c r="D93" i="11"/>
  <c r="H72" i="11"/>
  <c r="F65" i="11"/>
  <c r="D85" i="11"/>
  <c r="F64" i="11"/>
  <c r="H61" i="11"/>
  <c r="F62" i="11"/>
  <c r="F60" i="11"/>
  <c r="G75" i="11"/>
  <c r="G69" i="11"/>
  <c r="G21" i="11"/>
  <c r="D81" i="11"/>
  <c r="E69" i="11"/>
  <c r="E27" i="10"/>
  <c r="E25" i="10"/>
  <c r="E61" i="10" s="1"/>
  <c r="E29" i="9"/>
  <c r="E12" i="9"/>
  <c r="E40" i="9" s="1"/>
  <c r="E11" i="9"/>
  <c r="E10" i="9" s="1"/>
  <c r="E32" i="8"/>
  <c r="E10" i="8"/>
  <c r="E28" i="8"/>
  <c r="N29" i="11"/>
  <c r="P114" i="11"/>
  <c r="L114" i="11"/>
  <c r="F106" i="11"/>
  <c r="F107" i="11"/>
  <c r="D124" i="11"/>
  <c r="G17" i="11"/>
  <c r="D121" i="11"/>
  <c r="M97" i="11"/>
  <c r="L97" i="11"/>
  <c r="D120" i="11"/>
  <c r="G114" i="11"/>
  <c r="E111" i="11"/>
  <c r="K111" i="11"/>
  <c r="O111" i="11"/>
  <c r="I111" i="11"/>
  <c r="M111" i="11"/>
  <c r="L108" i="11"/>
  <c r="E108" i="11"/>
  <c r="K108" i="11"/>
  <c r="D96" i="11"/>
  <c r="P101" i="11"/>
  <c r="I101" i="11"/>
  <c r="O101" i="11"/>
  <c r="I97" i="11"/>
  <c r="E32" i="11"/>
  <c r="O32" i="11"/>
  <c r="F75" i="11"/>
  <c r="E30" i="11"/>
  <c r="O30" i="11"/>
  <c r="G72" i="11"/>
  <c r="F72" i="11" s="1"/>
  <c r="P27" i="11"/>
  <c r="K72" i="11"/>
  <c r="G25" i="11"/>
  <c r="N69" i="11"/>
  <c r="I24" i="11"/>
  <c r="N24" i="11"/>
  <c r="N23" i="11" s="1"/>
  <c r="K69" i="11"/>
  <c r="M69" i="11"/>
  <c r="M56" i="11" s="1"/>
  <c r="E66" i="11"/>
  <c r="F68" i="11"/>
  <c r="N66" i="11"/>
  <c r="E61" i="11"/>
  <c r="O17" i="11"/>
  <c r="P16" i="11"/>
  <c r="P15" i="11" s="1"/>
  <c r="L61" i="11"/>
  <c r="J62" i="11"/>
  <c r="H16" i="11"/>
  <c r="M14" i="11"/>
  <c r="J14" i="11" s="1"/>
  <c r="O13" i="11"/>
  <c r="I57" i="11"/>
  <c r="N57" i="11"/>
  <c r="D47" i="11"/>
  <c r="F43" i="11"/>
  <c r="D37" i="11"/>
  <c r="D36" i="11"/>
  <c r="N114" i="7"/>
  <c r="D132" i="7"/>
  <c r="G114" i="7"/>
  <c r="K111" i="7"/>
  <c r="H111" i="7"/>
  <c r="P108" i="7"/>
  <c r="L108" i="7"/>
  <c r="J109" i="7"/>
  <c r="D127" i="7"/>
  <c r="O101" i="7"/>
  <c r="P97" i="7"/>
  <c r="L97" i="7"/>
  <c r="H114" i="7"/>
  <c r="L114" i="7"/>
  <c r="I114" i="7"/>
  <c r="G111" i="7"/>
  <c r="N111" i="7"/>
  <c r="E111" i="7"/>
  <c r="M108" i="7"/>
  <c r="F99" i="7"/>
  <c r="E97" i="7"/>
  <c r="H97" i="7"/>
  <c r="N97" i="7"/>
  <c r="N75" i="7"/>
  <c r="I75" i="7"/>
  <c r="O72" i="7"/>
  <c r="O69" i="7"/>
  <c r="K69" i="7"/>
  <c r="I69" i="7"/>
  <c r="F71" i="7"/>
  <c r="E69" i="7"/>
  <c r="K66" i="7"/>
  <c r="F64" i="7"/>
  <c r="M57" i="7"/>
  <c r="F58" i="7"/>
  <c r="E72" i="7"/>
  <c r="H72" i="7"/>
  <c r="M72" i="7"/>
  <c r="M69" i="7"/>
  <c r="G66" i="7"/>
  <c r="E21" i="7"/>
  <c r="O21" i="7"/>
  <c r="J67" i="7"/>
  <c r="O66" i="7"/>
  <c r="G19" i="7"/>
  <c r="I61" i="7"/>
  <c r="N61" i="7"/>
  <c r="E19" i="7"/>
  <c r="I17" i="7"/>
  <c r="N17" i="7"/>
  <c r="L61" i="7"/>
  <c r="M14" i="7"/>
  <c r="E14" i="7"/>
  <c r="D54" i="7"/>
  <c r="D42" i="7"/>
  <c r="M134" i="5"/>
  <c r="F139" i="5"/>
  <c r="D183" i="5"/>
  <c r="J127" i="5"/>
  <c r="J120" i="5"/>
  <c r="M115" i="5"/>
  <c r="G115" i="5"/>
  <c r="O111" i="5"/>
  <c r="I111" i="5"/>
  <c r="F113" i="5"/>
  <c r="L111" i="5"/>
  <c r="H111" i="5"/>
  <c r="D161" i="5"/>
  <c r="E106" i="5"/>
  <c r="J104" i="5"/>
  <c r="D152" i="5"/>
  <c r="J100" i="5"/>
  <c r="P94" i="5"/>
  <c r="O94" i="5"/>
  <c r="N94" i="5"/>
  <c r="M94" i="5"/>
  <c r="N13" i="5"/>
  <c r="E91" i="5"/>
  <c r="M91" i="5"/>
  <c r="M13" i="5" s="1"/>
  <c r="G91" i="5"/>
  <c r="G13" i="5" s="1"/>
  <c r="F140" i="5"/>
  <c r="H134" i="5"/>
  <c r="I134" i="5"/>
  <c r="L134" i="5"/>
  <c r="E115" i="5"/>
  <c r="O115" i="5"/>
  <c r="E111" i="5"/>
  <c r="F108" i="5"/>
  <c r="L106" i="5"/>
  <c r="N106" i="5"/>
  <c r="L94" i="5"/>
  <c r="E14" i="5"/>
  <c r="O14" i="5"/>
  <c r="D87" i="5"/>
  <c r="D83" i="5"/>
  <c r="D78" i="5"/>
  <c r="D73" i="5"/>
  <c r="D65" i="5"/>
  <c r="J63" i="5"/>
  <c r="J57" i="5"/>
  <c r="D56" i="5"/>
  <c r="E13" i="5"/>
  <c r="G28" i="5"/>
  <c r="N114" i="11"/>
  <c r="D133" i="11"/>
  <c r="K114" i="11"/>
  <c r="D132" i="11"/>
  <c r="I114" i="11"/>
  <c r="M114" i="11"/>
  <c r="D131" i="11"/>
  <c r="H114" i="11"/>
  <c r="J113" i="11"/>
  <c r="L111" i="11"/>
  <c r="D130" i="11"/>
  <c r="H111" i="11"/>
  <c r="G111" i="11"/>
  <c r="N111" i="11"/>
  <c r="D129" i="11"/>
  <c r="D128" i="11"/>
  <c r="H108" i="11"/>
  <c r="D127" i="11"/>
  <c r="J107" i="11"/>
  <c r="L106" i="11"/>
  <c r="J106" i="11" s="1"/>
  <c r="D126" i="11"/>
  <c r="N101" i="11"/>
  <c r="J105" i="11"/>
  <c r="D125" i="11"/>
  <c r="L101" i="11"/>
  <c r="J104" i="11"/>
  <c r="F104" i="11"/>
  <c r="M101" i="11"/>
  <c r="J103" i="11"/>
  <c r="D123" i="11"/>
  <c r="F103" i="11"/>
  <c r="D122" i="11"/>
  <c r="F100" i="11"/>
  <c r="O97" i="11"/>
  <c r="F99" i="11"/>
  <c r="D119" i="11"/>
  <c r="K97" i="11"/>
  <c r="F98" i="11"/>
  <c r="E97" i="11"/>
  <c r="E114" i="11"/>
  <c r="H31" i="11"/>
  <c r="H29" i="11" s="1"/>
  <c r="M31" i="11"/>
  <c r="M29" i="11" s="1"/>
  <c r="N28" i="11"/>
  <c r="N26" i="11" s="1"/>
  <c r="F113" i="11"/>
  <c r="J111" i="11"/>
  <c r="P111" i="11"/>
  <c r="P96" i="11" s="1"/>
  <c r="P134" i="11" s="1"/>
  <c r="F111" i="11"/>
  <c r="P25" i="11"/>
  <c r="G108" i="11"/>
  <c r="N108" i="11"/>
  <c r="F109" i="11"/>
  <c r="I108" i="11"/>
  <c r="I96" i="11" s="1"/>
  <c r="F105" i="11"/>
  <c r="F18" i="11"/>
  <c r="E101" i="11"/>
  <c r="K17" i="11"/>
  <c r="J17" i="11" s="1"/>
  <c r="K101" i="11"/>
  <c r="M16" i="11"/>
  <c r="M15" i="11" s="1"/>
  <c r="H101" i="11"/>
  <c r="J102" i="11"/>
  <c r="F102" i="11"/>
  <c r="H11" i="11"/>
  <c r="J100" i="11"/>
  <c r="K13" i="11"/>
  <c r="J13" i="11" s="1"/>
  <c r="J99" i="11"/>
  <c r="J98" i="11"/>
  <c r="O31" i="11"/>
  <c r="E72" i="11"/>
  <c r="M27" i="11"/>
  <c r="M26" i="11" s="1"/>
  <c r="J72" i="11"/>
  <c r="E25" i="11"/>
  <c r="P69" i="11"/>
  <c r="F69" i="11"/>
  <c r="F70" i="11"/>
  <c r="M24" i="11"/>
  <c r="J70" i="11"/>
  <c r="E24" i="11"/>
  <c r="N22" i="11"/>
  <c r="N20" i="11" s="1"/>
  <c r="I22" i="11"/>
  <c r="I20" i="11" s="1"/>
  <c r="F67" i="11"/>
  <c r="J67" i="11"/>
  <c r="O61" i="11"/>
  <c r="K19" i="11"/>
  <c r="J19" i="11" s="1"/>
  <c r="I15" i="11"/>
  <c r="K18" i="11"/>
  <c r="J18" i="11" s="1"/>
  <c r="K61" i="11"/>
  <c r="H56" i="11"/>
  <c r="G61" i="11"/>
  <c r="F61" i="11" s="1"/>
  <c r="F63" i="11"/>
  <c r="K16" i="11"/>
  <c r="G16" i="11"/>
  <c r="F16" i="11" s="1"/>
  <c r="J60" i="11"/>
  <c r="G14" i="11"/>
  <c r="F14" i="11" s="1"/>
  <c r="I13" i="11"/>
  <c r="I11" i="11" s="1"/>
  <c r="N13" i="11"/>
  <c r="N11" i="11" s="1"/>
  <c r="F59" i="11"/>
  <c r="E57" i="11"/>
  <c r="J59" i="11"/>
  <c r="L57" i="11"/>
  <c r="J57" i="11" s="1"/>
  <c r="P57" i="11"/>
  <c r="G12" i="11"/>
  <c r="F12" i="11" s="1"/>
  <c r="J58" i="11"/>
  <c r="D56" i="11"/>
  <c r="D55" i="11"/>
  <c r="J52" i="11"/>
  <c r="D54" i="11"/>
  <c r="P29" i="11"/>
  <c r="L29" i="11"/>
  <c r="D53" i="11"/>
  <c r="I29" i="11"/>
  <c r="F52" i="11"/>
  <c r="D51" i="11"/>
  <c r="I26" i="11"/>
  <c r="D50" i="11"/>
  <c r="D48" i="11"/>
  <c r="F46" i="11"/>
  <c r="O23" i="11"/>
  <c r="J46" i="11"/>
  <c r="P20" i="11"/>
  <c r="O20" i="11"/>
  <c r="N33" i="11"/>
  <c r="L20" i="11"/>
  <c r="D45" i="11"/>
  <c r="K33" i="11"/>
  <c r="H20" i="11"/>
  <c r="F22" i="11"/>
  <c r="O33" i="11"/>
  <c r="J21" i="11"/>
  <c r="J43" i="11"/>
  <c r="D43" i="11" s="1"/>
  <c r="F21" i="11"/>
  <c r="G33" i="11"/>
  <c r="D44" i="11"/>
  <c r="N15" i="11"/>
  <c r="F19" i="11"/>
  <c r="D42" i="11"/>
  <c r="D41" i="11"/>
  <c r="L15" i="11"/>
  <c r="H15" i="11"/>
  <c r="F17" i="11"/>
  <c r="E15" i="11"/>
  <c r="O15" i="11"/>
  <c r="D39" i="11"/>
  <c r="P11" i="11"/>
  <c r="M11" i="11"/>
  <c r="J34" i="11"/>
  <c r="L11" i="11"/>
  <c r="F34" i="11"/>
  <c r="E11" i="11"/>
  <c r="P33" i="11"/>
  <c r="O11" i="11"/>
  <c r="D35" i="11"/>
  <c r="J117" i="7"/>
  <c r="F117" i="7"/>
  <c r="D133" i="7"/>
  <c r="M114" i="7"/>
  <c r="O114" i="7"/>
  <c r="D131" i="7"/>
  <c r="F115" i="7"/>
  <c r="E114" i="7"/>
  <c r="P111" i="7"/>
  <c r="P96" i="7" s="1"/>
  <c r="P134" i="7" s="1"/>
  <c r="P238" i="5" s="1"/>
  <c r="P200" i="5" s="1"/>
  <c r="J113" i="7"/>
  <c r="M111" i="7"/>
  <c r="D130" i="7"/>
  <c r="F113" i="7"/>
  <c r="I111" i="7"/>
  <c r="F111" i="7" s="1"/>
  <c r="J112" i="7"/>
  <c r="L111" i="7"/>
  <c r="D129" i="7"/>
  <c r="F112" i="7"/>
  <c r="O108" i="7"/>
  <c r="N108" i="7"/>
  <c r="D128" i="7"/>
  <c r="I108" i="7"/>
  <c r="E108" i="7"/>
  <c r="F109" i="7"/>
  <c r="H108" i="7"/>
  <c r="D126" i="7"/>
  <c r="J105" i="7"/>
  <c r="H101" i="7"/>
  <c r="D125" i="7"/>
  <c r="D124" i="7"/>
  <c r="F104" i="7"/>
  <c r="M101" i="7"/>
  <c r="D123" i="7"/>
  <c r="J103" i="7"/>
  <c r="P101" i="7"/>
  <c r="L101" i="7"/>
  <c r="L96" i="7" s="1"/>
  <c r="D122" i="7"/>
  <c r="E101" i="7"/>
  <c r="J100" i="7"/>
  <c r="D121" i="7"/>
  <c r="G97" i="7"/>
  <c r="O97" i="7"/>
  <c r="D120" i="7"/>
  <c r="J98" i="7"/>
  <c r="D119" i="7"/>
  <c r="F98" i="7"/>
  <c r="K114" i="7"/>
  <c r="E32" i="7"/>
  <c r="E29" i="7" s="1"/>
  <c r="O32" i="7"/>
  <c r="J116" i="7"/>
  <c r="M31" i="7"/>
  <c r="M29" i="7" s="1"/>
  <c r="F116" i="7"/>
  <c r="H27" i="7"/>
  <c r="H26" i="7" s="1"/>
  <c r="L27" i="7"/>
  <c r="L26" i="7" s="1"/>
  <c r="P27" i="7"/>
  <c r="P26" i="7" s="1"/>
  <c r="J110" i="7"/>
  <c r="F110" i="7"/>
  <c r="K108" i="7"/>
  <c r="J108" i="7" s="1"/>
  <c r="O106" i="7"/>
  <c r="F107" i="7"/>
  <c r="E106" i="7"/>
  <c r="J106" i="7"/>
  <c r="J107" i="7"/>
  <c r="L19" i="7"/>
  <c r="J19" i="7" s="1"/>
  <c r="G101" i="7"/>
  <c r="N101" i="7"/>
  <c r="N96" i="7" s="1"/>
  <c r="I101" i="7"/>
  <c r="K101" i="7"/>
  <c r="M16" i="7"/>
  <c r="F102" i="7"/>
  <c r="D96" i="7"/>
  <c r="I14" i="7"/>
  <c r="F14" i="7" s="1"/>
  <c r="M13" i="7"/>
  <c r="M11" i="7" s="1"/>
  <c r="M97" i="7"/>
  <c r="J97" i="7" s="1"/>
  <c r="I13" i="7"/>
  <c r="I97" i="7"/>
  <c r="F97" i="7" s="1"/>
  <c r="D95" i="7"/>
  <c r="O75" i="7"/>
  <c r="D94" i="7"/>
  <c r="F77" i="7"/>
  <c r="D93" i="7"/>
  <c r="K75" i="7"/>
  <c r="G75" i="7"/>
  <c r="E75" i="7"/>
  <c r="D92" i="7"/>
  <c r="I72" i="7"/>
  <c r="N72" i="7"/>
  <c r="F73" i="7"/>
  <c r="D91" i="7"/>
  <c r="P69" i="7"/>
  <c r="N69" i="7"/>
  <c r="D90" i="7"/>
  <c r="D89" i="7"/>
  <c r="G69" i="7"/>
  <c r="P66" i="7"/>
  <c r="D88" i="7"/>
  <c r="E66" i="7"/>
  <c r="N66" i="7"/>
  <c r="M66" i="7"/>
  <c r="J66" i="7" s="1"/>
  <c r="L66" i="7"/>
  <c r="H66" i="7"/>
  <c r="F66" i="7" s="1"/>
  <c r="F67" i="7"/>
  <c r="D87" i="7"/>
  <c r="J64" i="7"/>
  <c r="D85" i="7"/>
  <c r="D84" i="7"/>
  <c r="J62" i="7"/>
  <c r="M61" i="7"/>
  <c r="F62" i="7"/>
  <c r="D83" i="7"/>
  <c r="G61" i="7"/>
  <c r="D82" i="7"/>
  <c r="H11" i="7"/>
  <c r="H57" i="7"/>
  <c r="F60" i="7"/>
  <c r="O57" i="7"/>
  <c r="K57" i="7"/>
  <c r="D81" i="7"/>
  <c r="N57" i="7"/>
  <c r="D80" i="7"/>
  <c r="I57" i="7"/>
  <c r="E57" i="7"/>
  <c r="K32" i="7"/>
  <c r="J32" i="7" s="1"/>
  <c r="F78" i="7"/>
  <c r="F32" i="7"/>
  <c r="J78" i="7"/>
  <c r="M75" i="7"/>
  <c r="I29" i="7"/>
  <c r="N29" i="7"/>
  <c r="H31" i="7"/>
  <c r="H75" i="7"/>
  <c r="J77" i="7"/>
  <c r="O30" i="7"/>
  <c r="O29" i="7" s="1"/>
  <c r="F76" i="7"/>
  <c r="J76" i="7"/>
  <c r="P75" i="7"/>
  <c r="N28" i="7"/>
  <c r="N26" i="7" s="1"/>
  <c r="P72" i="7"/>
  <c r="L72" i="7"/>
  <c r="J73" i="7"/>
  <c r="G27" i="7"/>
  <c r="G26" i="7" s="1"/>
  <c r="H69" i="7"/>
  <c r="J71" i="7"/>
  <c r="H25" i="7"/>
  <c r="H23" i="7" s="1"/>
  <c r="M25" i="7"/>
  <c r="J25" i="7" s="1"/>
  <c r="E24" i="7"/>
  <c r="E23" i="7" s="1"/>
  <c r="K24" i="7"/>
  <c r="J24" i="7" s="1"/>
  <c r="O24" i="7"/>
  <c r="O23" i="7" s="1"/>
  <c r="F70" i="7"/>
  <c r="J69" i="7"/>
  <c r="J70" i="7"/>
  <c r="D56" i="7"/>
  <c r="F68" i="7"/>
  <c r="J68" i="7"/>
  <c r="J65" i="7"/>
  <c r="F65" i="7"/>
  <c r="H61" i="7"/>
  <c r="E61" i="7"/>
  <c r="K18" i="7"/>
  <c r="J18" i="7" s="1"/>
  <c r="H17" i="7"/>
  <c r="F17" i="7" s="1"/>
  <c r="M17" i="7"/>
  <c r="J17" i="7" s="1"/>
  <c r="J63" i="7"/>
  <c r="F63" i="7"/>
  <c r="E16" i="7"/>
  <c r="E15" i="7" s="1"/>
  <c r="K61" i="7"/>
  <c r="O61" i="7"/>
  <c r="P11" i="7"/>
  <c r="F59" i="7"/>
  <c r="N13" i="7"/>
  <c r="N11" i="7" s="1"/>
  <c r="L57" i="7"/>
  <c r="P57" i="7"/>
  <c r="J58" i="7"/>
  <c r="G12" i="7"/>
  <c r="G11" i="7" s="1"/>
  <c r="D55" i="7"/>
  <c r="P29" i="7"/>
  <c r="J52" i="7"/>
  <c r="D53" i="7"/>
  <c r="I33" i="7"/>
  <c r="F52" i="7"/>
  <c r="O26" i="7"/>
  <c r="M26" i="7"/>
  <c r="J28" i="7"/>
  <c r="D51" i="7"/>
  <c r="I26" i="7"/>
  <c r="F28" i="7"/>
  <c r="M33" i="7"/>
  <c r="J49" i="7"/>
  <c r="F49" i="7"/>
  <c r="H33" i="7"/>
  <c r="D50" i="7"/>
  <c r="P23" i="7"/>
  <c r="N23" i="7"/>
  <c r="L23" i="7"/>
  <c r="J46" i="7"/>
  <c r="D48" i="7"/>
  <c r="D47" i="7"/>
  <c r="F24" i="7"/>
  <c r="I23" i="7"/>
  <c r="F46" i="7"/>
  <c r="G23" i="7"/>
  <c r="P33" i="7"/>
  <c r="O20" i="7"/>
  <c r="M20" i="7"/>
  <c r="D45" i="7"/>
  <c r="I20" i="7"/>
  <c r="E33" i="7"/>
  <c r="P20" i="7"/>
  <c r="J43" i="7"/>
  <c r="D44" i="7"/>
  <c r="F43" i="7"/>
  <c r="O15" i="7"/>
  <c r="F19" i="7"/>
  <c r="D41" i="7"/>
  <c r="F18" i="7"/>
  <c r="F38" i="7"/>
  <c r="P15" i="7"/>
  <c r="N15" i="7"/>
  <c r="J38" i="7"/>
  <c r="L15" i="7"/>
  <c r="D40" i="7"/>
  <c r="N33" i="7"/>
  <c r="L33" i="7"/>
  <c r="D39" i="7"/>
  <c r="I15" i="7"/>
  <c r="J14" i="7"/>
  <c r="D37" i="7"/>
  <c r="J13" i="7"/>
  <c r="L11" i="7"/>
  <c r="D36" i="7"/>
  <c r="E11" i="7"/>
  <c r="O11" i="7"/>
  <c r="O33" i="7"/>
  <c r="J12" i="7"/>
  <c r="D35" i="7"/>
  <c r="D186" i="5"/>
  <c r="J137" i="5"/>
  <c r="J139" i="5"/>
  <c r="J136" i="5"/>
  <c r="J138" i="5"/>
  <c r="J140" i="5"/>
  <c r="D185" i="5"/>
  <c r="F136" i="5"/>
  <c r="F138" i="5"/>
  <c r="D184" i="5"/>
  <c r="J133" i="5"/>
  <c r="J131" i="5"/>
  <c r="D181" i="5"/>
  <c r="D180" i="5"/>
  <c r="D179" i="5"/>
  <c r="D178" i="5"/>
  <c r="F127" i="5"/>
  <c r="D177" i="5"/>
  <c r="F126" i="5"/>
  <c r="D176" i="5"/>
  <c r="I118" i="5"/>
  <c r="F125" i="5"/>
  <c r="J124" i="5"/>
  <c r="D175" i="5"/>
  <c r="M118" i="5"/>
  <c r="K118" i="5"/>
  <c r="D172" i="5"/>
  <c r="O118" i="5"/>
  <c r="D171" i="5"/>
  <c r="E118" i="5"/>
  <c r="P118" i="5"/>
  <c r="L118" i="5"/>
  <c r="J119" i="5"/>
  <c r="F119" i="5"/>
  <c r="N115" i="5"/>
  <c r="D168" i="5"/>
  <c r="I115" i="5"/>
  <c r="H115" i="5"/>
  <c r="J116" i="5"/>
  <c r="L115" i="5"/>
  <c r="D167" i="5"/>
  <c r="D165" i="5"/>
  <c r="P111" i="5"/>
  <c r="N111" i="5"/>
  <c r="J113" i="5"/>
  <c r="G111" i="5"/>
  <c r="J112" i="5"/>
  <c r="K111" i="5"/>
  <c r="D163" i="5"/>
  <c r="M106" i="5"/>
  <c r="I106" i="5"/>
  <c r="H106" i="5"/>
  <c r="F110" i="5"/>
  <c r="J109" i="5"/>
  <c r="F109" i="5"/>
  <c r="D160" i="5"/>
  <c r="P106" i="5"/>
  <c r="J108" i="5"/>
  <c r="D159" i="5"/>
  <c r="O106" i="5"/>
  <c r="J107" i="5"/>
  <c r="K106" i="5"/>
  <c r="F107" i="5"/>
  <c r="D156" i="5"/>
  <c r="D155" i="5"/>
  <c r="E99" i="5"/>
  <c r="J103" i="5"/>
  <c r="L99" i="5"/>
  <c r="H99" i="5"/>
  <c r="M99" i="5"/>
  <c r="J102" i="5"/>
  <c r="D153" i="5"/>
  <c r="P99" i="5"/>
  <c r="O99" i="5"/>
  <c r="N99" i="5"/>
  <c r="D151" i="5"/>
  <c r="K99" i="5"/>
  <c r="I99" i="5"/>
  <c r="G99" i="5"/>
  <c r="D149" i="5"/>
  <c r="F97" i="5"/>
  <c r="D147" i="5"/>
  <c r="I94" i="5"/>
  <c r="H94" i="5"/>
  <c r="E94" i="5"/>
  <c r="J95" i="5"/>
  <c r="K94" i="5"/>
  <c r="J94" i="5" s="1"/>
  <c r="D146" i="5"/>
  <c r="F95" i="5"/>
  <c r="P91" i="5"/>
  <c r="P13" i="5" s="1"/>
  <c r="O91" i="5"/>
  <c r="J93" i="5"/>
  <c r="L91" i="5"/>
  <c r="L13" i="5" s="1"/>
  <c r="K91" i="5"/>
  <c r="K13" i="5" s="1"/>
  <c r="I91" i="5"/>
  <c r="I13" i="5" s="1"/>
  <c r="F93" i="5"/>
  <c r="H91" i="5"/>
  <c r="H13" i="5" s="1"/>
  <c r="D144" i="5"/>
  <c r="J92" i="5"/>
  <c r="J14" i="5" s="1"/>
  <c r="F14" i="5"/>
  <c r="O134" i="5"/>
  <c r="K134" i="5"/>
  <c r="G134" i="5"/>
  <c r="J135" i="5"/>
  <c r="N118" i="5"/>
  <c r="J129" i="5"/>
  <c r="J126" i="5"/>
  <c r="J125" i="5"/>
  <c r="F124" i="5"/>
  <c r="J123" i="5"/>
  <c r="F122" i="5"/>
  <c r="J122" i="5"/>
  <c r="G118" i="5"/>
  <c r="J121" i="5"/>
  <c r="F120" i="5"/>
  <c r="H118" i="5"/>
  <c r="J117" i="5"/>
  <c r="F117" i="5"/>
  <c r="F116" i="5"/>
  <c r="J115" i="5"/>
  <c r="F115" i="5"/>
  <c r="F114" i="5"/>
  <c r="F112" i="5"/>
  <c r="G106" i="5"/>
  <c r="J110" i="5"/>
  <c r="J105" i="5"/>
  <c r="J101" i="5"/>
  <c r="D90" i="5"/>
  <c r="J97" i="5"/>
  <c r="J98" i="5"/>
  <c r="F96" i="5"/>
  <c r="D89" i="5"/>
  <c r="D88" i="5"/>
  <c r="D86" i="5"/>
  <c r="D85" i="5"/>
  <c r="D84" i="5"/>
  <c r="J82" i="5"/>
  <c r="F82" i="5"/>
  <c r="D81" i="5"/>
  <c r="D80" i="5"/>
  <c r="D79" i="5"/>
  <c r="D77" i="5"/>
  <c r="D76" i="5"/>
  <c r="D75" i="5"/>
  <c r="D74" i="5"/>
  <c r="D72" i="5"/>
  <c r="D71" i="5"/>
  <c r="D70" i="5"/>
  <c r="D69" i="5"/>
  <c r="D68" i="5"/>
  <c r="J66" i="5"/>
  <c r="D67" i="5"/>
  <c r="F66" i="5"/>
  <c r="F63" i="5"/>
  <c r="D63" i="5" s="1"/>
  <c r="D64" i="5"/>
  <c r="D62" i="5"/>
  <c r="D60" i="5"/>
  <c r="F57" i="5"/>
  <c r="D57" i="5" s="1"/>
  <c r="D59" i="5"/>
  <c r="D58" i="5"/>
  <c r="D55" i="5"/>
  <c r="D54" i="5"/>
  <c r="J52" i="5"/>
  <c r="F52" i="5"/>
  <c r="D51" i="5"/>
  <c r="D50" i="5"/>
  <c r="O29" i="5"/>
  <c r="O25" i="5" s="1"/>
  <c r="D49" i="5"/>
  <c r="D18" i="5" s="1"/>
  <c r="D48" i="5"/>
  <c r="J45" i="5"/>
  <c r="D46" i="5"/>
  <c r="D17" i="5" s="1"/>
  <c r="F45" i="5"/>
  <c r="D44" i="5"/>
  <c r="F43" i="5"/>
  <c r="D43" i="5" s="1"/>
  <c r="G29" i="5"/>
  <c r="G25" i="5" s="1"/>
  <c r="D42" i="5"/>
  <c r="J40" i="5"/>
  <c r="D41" i="5"/>
  <c r="F40" i="5"/>
  <c r="D39" i="5"/>
  <c r="D38" i="5"/>
  <c r="J37" i="5"/>
  <c r="J15" i="5" s="1"/>
  <c r="O13" i="5"/>
  <c r="M29" i="5"/>
  <c r="M25" i="5" s="1"/>
  <c r="P29" i="5"/>
  <c r="P25" i="5" s="1"/>
  <c r="N29" i="5"/>
  <c r="N25" i="5" s="1"/>
  <c r="J34" i="5"/>
  <c r="L29" i="5"/>
  <c r="L25" i="5" s="1"/>
  <c r="H29" i="5"/>
  <c r="H25" i="5" s="1"/>
  <c r="F34" i="5"/>
  <c r="D35" i="5"/>
  <c r="D14" i="5" s="1"/>
  <c r="L28" i="5"/>
  <c r="L12" i="5"/>
  <c r="H12" i="5"/>
  <c r="N28" i="5"/>
  <c r="N12" i="5"/>
  <c r="M28" i="5"/>
  <c r="K28" i="5"/>
  <c r="J31" i="5"/>
  <c r="J12" i="5" s="1"/>
  <c r="I29" i="5"/>
  <c r="I25" i="5" s="1"/>
  <c r="I28" i="5"/>
  <c r="E29" i="5"/>
  <c r="E25" i="5" s="1"/>
  <c r="D30" i="5"/>
  <c r="D11" i="5" s="1"/>
  <c r="F15" i="5"/>
  <c r="D34" i="4"/>
  <c r="H15" i="5"/>
  <c r="L15" i="5"/>
  <c r="P15" i="5"/>
  <c r="D36" i="5"/>
  <c r="F129" i="5"/>
  <c r="F131" i="5"/>
  <c r="F133" i="5"/>
  <c r="D158" i="5"/>
  <c r="D164" i="5"/>
  <c r="K29" i="5"/>
  <c r="D47" i="5"/>
  <c r="D19" i="5" s="1"/>
  <c r="D53" i="5"/>
  <c r="D21" i="5" s="1"/>
  <c r="J128" i="5"/>
  <c r="J130" i="5"/>
  <c r="J132" i="5"/>
  <c r="E28" i="5"/>
  <c r="E27" i="9"/>
  <c r="F128" i="5"/>
  <c r="F130" i="5"/>
  <c r="F132" i="5"/>
  <c r="D143" i="5"/>
  <c r="D170" i="5"/>
  <c r="D173" i="5"/>
  <c r="D182" i="5"/>
  <c r="D154" i="5"/>
  <c r="D174" i="5"/>
  <c r="F13" i="7"/>
  <c r="E20" i="7"/>
  <c r="J21" i="7"/>
  <c r="F22" i="7"/>
  <c r="H20" i="7"/>
  <c r="F25" i="7"/>
  <c r="H29" i="7"/>
  <c r="F30" i="7"/>
  <c r="K29" i="7"/>
  <c r="J57" i="7"/>
  <c r="K11" i="7"/>
  <c r="F21" i="7"/>
  <c r="J27" i="7"/>
  <c r="K26" i="7"/>
  <c r="F31" i="7"/>
  <c r="G29" i="7"/>
  <c r="F27" i="7"/>
  <c r="D49" i="7"/>
  <c r="D52" i="7"/>
  <c r="J22" i="7"/>
  <c r="L20" i="7"/>
  <c r="L29" i="7"/>
  <c r="J30" i="7"/>
  <c r="G16" i="7"/>
  <c r="K16" i="7"/>
  <c r="G20" i="7"/>
  <c r="K20" i="7"/>
  <c r="E26" i="7"/>
  <c r="J59" i="7"/>
  <c r="K72" i="7"/>
  <c r="J74" i="7"/>
  <c r="F101" i="7"/>
  <c r="F103" i="7"/>
  <c r="F105" i="7"/>
  <c r="H106" i="7"/>
  <c r="F106" i="7" s="1"/>
  <c r="G108" i="7"/>
  <c r="F114" i="7"/>
  <c r="G33" i="7"/>
  <c r="K33" i="7"/>
  <c r="F34" i="7"/>
  <c r="J34" i="7"/>
  <c r="G57" i="7"/>
  <c r="G72" i="7"/>
  <c r="F72" i="7" s="1"/>
  <c r="F74" i="7"/>
  <c r="J102" i="7"/>
  <c r="J104" i="7"/>
  <c r="J115" i="7"/>
  <c r="J60" i="7"/>
  <c r="L75" i="7"/>
  <c r="J75" i="7" s="1"/>
  <c r="E47" i="10"/>
  <c r="E48" i="10" s="1"/>
  <c r="J101" i="7"/>
  <c r="J114" i="7"/>
  <c r="E52" i="8"/>
  <c r="E59" i="10"/>
  <c r="E64" i="10" s="1"/>
  <c r="P24" i="11"/>
  <c r="P23" i="11" s="1"/>
  <c r="E26" i="11"/>
  <c r="E33" i="11"/>
  <c r="G57" i="11"/>
  <c r="I66" i="11"/>
  <c r="F74" i="11"/>
  <c r="G28" i="11"/>
  <c r="F28" i="11" s="1"/>
  <c r="H97" i="11"/>
  <c r="G101" i="11"/>
  <c r="F108" i="11"/>
  <c r="F115" i="11"/>
  <c r="G30" i="11"/>
  <c r="F117" i="11"/>
  <c r="G32" i="11"/>
  <c r="F32" i="11" s="1"/>
  <c r="K11" i="11"/>
  <c r="J12" i="11"/>
  <c r="J16" i="11"/>
  <c r="E21" i="11"/>
  <c r="L24" i="11"/>
  <c r="G23" i="11"/>
  <c r="D34" i="11"/>
  <c r="J38" i="11"/>
  <c r="L33" i="11"/>
  <c r="L69" i="11"/>
  <c r="J71" i="11"/>
  <c r="L25" i="11"/>
  <c r="J73" i="11"/>
  <c r="K27" i="11"/>
  <c r="O26" i="11"/>
  <c r="M108" i="11"/>
  <c r="M96" i="11" s="1"/>
  <c r="M134" i="11" s="1"/>
  <c r="J109" i="11"/>
  <c r="M25" i="11"/>
  <c r="J110" i="11"/>
  <c r="L27" i="11"/>
  <c r="J112" i="11"/>
  <c r="P26" i="11"/>
  <c r="O114" i="11"/>
  <c r="O96" i="11" s="1"/>
  <c r="O134" i="11" s="1"/>
  <c r="J116" i="11"/>
  <c r="K31" i="11"/>
  <c r="J31" i="11" s="1"/>
  <c r="G20" i="11"/>
  <c r="K20" i="11"/>
  <c r="K23" i="11"/>
  <c r="F38" i="11"/>
  <c r="H33" i="11"/>
  <c r="M33" i="11"/>
  <c r="J49" i="11"/>
  <c r="F71" i="11"/>
  <c r="H25" i="11"/>
  <c r="H23" i="11" s="1"/>
  <c r="F73" i="11"/>
  <c r="G27" i="11"/>
  <c r="I25" i="11"/>
  <c r="I23" i="11" s="1"/>
  <c r="F110" i="11"/>
  <c r="H27" i="11"/>
  <c r="H26" i="11" s="1"/>
  <c r="F112" i="11"/>
  <c r="F116" i="11"/>
  <c r="G31" i="11"/>
  <c r="F31" i="11" s="1"/>
  <c r="F24" i="11"/>
  <c r="I33" i="11"/>
  <c r="F49" i="11"/>
  <c r="K56" i="11"/>
  <c r="J66" i="11"/>
  <c r="M22" i="11"/>
  <c r="J22" i="11" s="1"/>
  <c r="D22" i="11" s="1"/>
  <c r="J68" i="11"/>
  <c r="J74" i="11"/>
  <c r="K28" i="11"/>
  <c r="J28" i="11" s="1"/>
  <c r="L96" i="11"/>
  <c r="L134" i="11" s="1"/>
  <c r="J97" i="11"/>
  <c r="J101" i="11"/>
  <c r="K96" i="11"/>
  <c r="K134" i="11" s="1"/>
  <c r="J115" i="11"/>
  <c r="K30" i="11"/>
  <c r="J117" i="11"/>
  <c r="K32" i="11"/>
  <c r="J32" i="11" s="1"/>
  <c r="F94" i="5" l="1"/>
  <c r="F134" i="5"/>
  <c r="J134" i="5"/>
  <c r="F111" i="5"/>
  <c r="J111" i="5"/>
  <c r="E29" i="11"/>
  <c r="O56" i="11"/>
  <c r="N56" i="11"/>
  <c r="M23" i="11"/>
  <c r="L26" i="11"/>
  <c r="J61" i="11"/>
  <c r="K15" i="11"/>
  <c r="G11" i="11"/>
  <c r="E56" i="11"/>
  <c r="E63" i="10"/>
  <c r="J106" i="5"/>
  <c r="E27" i="8"/>
  <c r="E41" i="8" s="1"/>
  <c r="O29" i="11"/>
  <c r="F114" i="11"/>
  <c r="J114" i="11"/>
  <c r="I134" i="11"/>
  <c r="N96" i="11"/>
  <c r="N134" i="11" s="1"/>
  <c r="D46" i="11"/>
  <c r="K96" i="7"/>
  <c r="O96" i="7"/>
  <c r="J111" i="7"/>
  <c r="J96" i="7" s="1"/>
  <c r="H96" i="7"/>
  <c r="J72" i="7"/>
  <c r="D27" i="7"/>
  <c r="J61" i="7"/>
  <c r="I56" i="7"/>
  <c r="O56" i="7"/>
  <c r="M23" i="7"/>
  <c r="J33" i="7"/>
  <c r="E36" i="9"/>
  <c r="E35" i="9" s="1"/>
  <c r="F91" i="5"/>
  <c r="F106" i="5"/>
  <c r="M90" i="5"/>
  <c r="M26" i="5" s="1"/>
  <c r="E90" i="5"/>
  <c r="E26" i="5" s="1"/>
  <c r="O90" i="5"/>
  <c r="O26" i="5" s="1"/>
  <c r="J91" i="5"/>
  <c r="J13" i="5" s="1"/>
  <c r="L90" i="5"/>
  <c r="L26" i="5" s="1"/>
  <c r="F28" i="5"/>
  <c r="D18" i="11"/>
  <c r="D14" i="11"/>
  <c r="E96" i="11"/>
  <c r="E134" i="11" s="1"/>
  <c r="P10" i="11"/>
  <c r="D33" i="6" s="1"/>
  <c r="J15" i="11"/>
  <c r="G15" i="11"/>
  <c r="F15" i="11" s="1"/>
  <c r="F13" i="11"/>
  <c r="D13" i="11" s="1"/>
  <c r="J134" i="11"/>
  <c r="P56" i="11"/>
  <c r="E23" i="11"/>
  <c r="F20" i="11"/>
  <c r="I10" i="11"/>
  <c r="D19" i="11"/>
  <c r="N10" i="11"/>
  <c r="D18" i="6" s="1"/>
  <c r="O10" i="11"/>
  <c r="D32" i="6" s="1"/>
  <c r="D52" i="11"/>
  <c r="D31" i="11"/>
  <c r="D49" i="11"/>
  <c r="J33" i="11"/>
  <c r="H10" i="11"/>
  <c r="J25" i="11"/>
  <c r="D17" i="11"/>
  <c r="D38" i="11"/>
  <c r="E96" i="7"/>
  <c r="E134" i="7" s="1"/>
  <c r="E238" i="5" s="1"/>
  <c r="E200" i="5" s="1"/>
  <c r="F26" i="7"/>
  <c r="K23" i="7"/>
  <c r="J23" i="7" s="1"/>
  <c r="I11" i="7"/>
  <c r="F11" i="7" s="1"/>
  <c r="I96" i="7"/>
  <c r="I134" i="7" s="1"/>
  <c r="I238" i="5" s="1"/>
  <c r="I200" i="5" s="1"/>
  <c r="J31" i="7"/>
  <c r="D31" i="7" s="1"/>
  <c r="J26" i="7"/>
  <c r="L134" i="7"/>
  <c r="L238" i="5" s="1"/>
  <c r="L200" i="5" s="1"/>
  <c r="H134" i="7"/>
  <c r="H238" i="5" s="1"/>
  <c r="H200" i="5" s="1"/>
  <c r="K134" i="7"/>
  <c r="K238" i="5" s="1"/>
  <c r="K200" i="5" s="1"/>
  <c r="H15" i="7"/>
  <c r="H10" i="7" s="1"/>
  <c r="O134" i="7"/>
  <c r="O238" i="5" s="1"/>
  <c r="O200" i="5" s="1"/>
  <c r="N134" i="7"/>
  <c r="N238" i="5" s="1"/>
  <c r="N200" i="5" s="1"/>
  <c r="M96" i="7"/>
  <c r="M134" i="7" s="1"/>
  <c r="D13" i="7"/>
  <c r="F12" i="7"/>
  <c r="D12" i="7" s="1"/>
  <c r="D32" i="7"/>
  <c r="F75" i="7"/>
  <c r="E56" i="7"/>
  <c r="D28" i="7"/>
  <c r="P56" i="7"/>
  <c r="D25" i="7"/>
  <c r="F23" i="7"/>
  <c r="F69" i="7"/>
  <c r="D24" i="7"/>
  <c r="N56" i="7"/>
  <c r="D19" i="7"/>
  <c r="D18" i="7"/>
  <c r="M56" i="7"/>
  <c r="M15" i="7"/>
  <c r="H56" i="7"/>
  <c r="L56" i="7"/>
  <c r="F29" i="7"/>
  <c r="I10" i="7"/>
  <c r="F61" i="7"/>
  <c r="D17" i="7"/>
  <c r="D14" i="7"/>
  <c r="O10" i="7"/>
  <c r="D55" i="6" s="1"/>
  <c r="J29" i="7"/>
  <c r="D30" i="7"/>
  <c r="D46" i="7"/>
  <c r="P10" i="7"/>
  <c r="D56" i="6" s="1"/>
  <c r="J20" i="7"/>
  <c r="D43" i="7"/>
  <c r="D22" i="7"/>
  <c r="D21" i="7"/>
  <c r="L10" i="7"/>
  <c r="D39" i="6" s="1"/>
  <c r="D38" i="7"/>
  <c r="N10" i="7"/>
  <c r="D41" i="6" s="1"/>
  <c r="I90" i="5"/>
  <c r="I26" i="5" s="1"/>
  <c r="J118" i="5"/>
  <c r="P90" i="5"/>
  <c r="P26" i="5" s="1"/>
  <c r="N90" i="5"/>
  <c r="N26" i="5" s="1"/>
  <c r="J99" i="5"/>
  <c r="F99" i="5"/>
  <c r="F13" i="5"/>
  <c r="K90" i="5"/>
  <c r="K26" i="5" s="1"/>
  <c r="F118" i="5"/>
  <c r="H90" i="5"/>
  <c r="H26" i="5" s="1"/>
  <c r="G90" i="5"/>
  <c r="G26" i="5" s="1"/>
  <c r="D82" i="5"/>
  <c r="D66" i="5"/>
  <c r="D52" i="5"/>
  <c r="D20" i="5" s="1"/>
  <c r="D45" i="5"/>
  <c r="D16" i="5" s="1"/>
  <c r="D40" i="5"/>
  <c r="D37" i="5"/>
  <c r="D15" i="5" s="1"/>
  <c r="J28" i="5"/>
  <c r="D34" i="5"/>
  <c r="D13" i="5" s="1"/>
  <c r="F29" i="5"/>
  <c r="D31" i="5"/>
  <c r="D12" i="5" s="1"/>
  <c r="F33" i="11"/>
  <c r="J11" i="11"/>
  <c r="H96" i="11"/>
  <c r="H134" i="11" s="1"/>
  <c r="F97" i="11"/>
  <c r="F23" i="11"/>
  <c r="F27" i="11"/>
  <c r="G26" i="11"/>
  <c r="F26" i="11" s="1"/>
  <c r="J27" i="11"/>
  <c r="K26" i="11"/>
  <c r="J69" i="11"/>
  <c r="L56" i="11"/>
  <c r="F25" i="11"/>
  <c r="D25" i="11" s="1"/>
  <c r="J30" i="11"/>
  <c r="K29" i="11"/>
  <c r="J29" i="11" s="1"/>
  <c r="L23" i="11"/>
  <c r="L10" i="11" s="1"/>
  <c r="D16" i="6" s="1"/>
  <c r="J24" i="11"/>
  <c r="D24" i="11" s="1"/>
  <c r="D16" i="11"/>
  <c r="D12" i="11"/>
  <c r="F101" i="11"/>
  <c r="G96" i="11"/>
  <c r="G134" i="11" s="1"/>
  <c r="F66" i="11"/>
  <c r="I56" i="11"/>
  <c r="M20" i="11"/>
  <c r="F57" i="7"/>
  <c r="G56" i="7"/>
  <c r="F108" i="7"/>
  <c r="F96" i="7" s="1"/>
  <c r="G96" i="7"/>
  <c r="G134" i="7" s="1"/>
  <c r="K56" i="7"/>
  <c r="J16" i="7"/>
  <c r="K15" i="7"/>
  <c r="J11" i="7"/>
  <c r="F25" i="5"/>
  <c r="F30" i="11"/>
  <c r="G29" i="11"/>
  <c r="F29" i="11" s="1"/>
  <c r="F57" i="11"/>
  <c r="G56" i="11"/>
  <c r="G15" i="7"/>
  <c r="F16" i="7"/>
  <c r="J56" i="7"/>
  <c r="E10" i="7"/>
  <c r="D42" i="6" s="1"/>
  <c r="F11" i="11"/>
  <c r="D21" i="11"/>
  <c r="E20" i="11"/>
  <c r="D28" i="11"/>
  <c r="D34" i="7"/>
  <c r="F33" i="7"/>
  <c r="D33" i="7" s="1"/>
  <c r="J108" i="11"/>
  <c r="D32" i="11"/>
  <c r="F20" i="7"/>
  <c r="K25" i="5"/>
  <c r="J29" i="5"/>
  <c r="D22" i="5"/>
  <c r="M10" i="11" l="1"/>
  <c r="D17" i="6" s="1"/>
  <c r="J56" i="11"/>
  <c r="J26" i="11"/>
  <c r="J96" i="11"/>
  <c r="D33" i="11"/>
  <c r="M10" i="7"/>
  <c r="D40" i="6" s="1"/>
  <c r="D26" i="7"/>
  <c r="J26" i="5"/>
  <c r="E57" i="8"/>
  <c r="E56" i="8" s="1"/>
  <c r="D28" i="5"/>
  <c r="D15" i="11"/>
  <c r="D31" i="6"/>
  <c r="J20" i="11"/>
  <c r="D20" i="11" s="1"/>
  <c r="F134" i="11"/>
  <c r="D134" i="11" s="1"/>
  <c r="F56" i="11"/>
  <c r="D29" i="11"/>
  <c r="D26" i="11"/>
  <c r="D23" i="7"/>
  <c r="M238" i="5"/>
  <c r="J134" i="7"/>
  <c r="J15" i="7"/>
  <c r="J10" i="7" s="1"/>
  <c r="D37" i="6" s="1"/>
  <c r="F56" i="7"/>
  <c r="D54" i="6"/>
  <c r="D29" i="7"/>
  <c r="D20" i="7"/>
  <c r="K10" i="7"/>
  <c r="D38" i="6" s="1"/>
  <c r="J90" i="5"/>
  <c r="F26" i="5"/>
  <c r="F90" i="5"/>
  <c r="J25" i="5"/>
  <c r="D25" i="5" s="1"/>
  <c r="D11" i="7"/>
  <c r="G10" i="11"/>
  <c r="F15" i="7"/>
  <c r="G10" i="7"/>
  <c r="D30" i="11"/>
  <c r="F134" i="7"/>
  <c r="G238" i="5"/>
  <c r="D29" i="5"/>
  <c r="D23" i="5" s="1"/>
  <c r="F10" i="11"/>
  <c r="D13" i="6" s="1"/>
  <c r="D11" i="11"/>
  <c r="K10" i="11"/>
  <c r="D15" i="6" s="1"/>
  <c r="D27" i="11"/>
  <c r="E10" i="11"/>
  <c r="D19" i="6" s="1"/>
  <c r="D16" i="7"/>
  <c r="F96" i="11"/>
  <c r="J23" i="11"/>
  <c r="D23" i="11" s="1"/>
  <c r="D26" i="5" l="1"/>
  <c r="E237" i="5" s="1"/>
  <c r="D134" i="7"/>
  <c r="M200" i="5"/>
  <c r="J200" i="5" s="1"/>
  <c r="J238" i="5"/>
  <c r="H237" i="5"/>
  <c r="D15" i="7"/>
  <c r="D10" i="7" s="1"/>
  <c r="F10" i="7"/>
  <c r="D36" i="6" s="1"/>
  <c r="D35" i="6" s="1"/>
  <c r="D53" i="6" s="1"/>
  <c r="D43" i="6" s="1"/>
  <c r="J10" i="11"/>
  <c r="D14" i="6" s="1"/>
  <c r="D12" i="6" s="1"/>
  <c r="D30" i="6" s="1"/>
  <c r="D20" i="6" s="1"/>
  <c r="D10" i="11"/>
  <c r="F238" i="5"/>
  <c r="G200" i="5"/>
  <c r="F200" i="5" s="1"/>
  <c r="L237" i="5" l="1"/>
  <c r="L228" i="5" s="1"/>
  <c r="N237" i="5"/>
  <c r="N228" i="5" s="1"/>
  <c r="I237" i="5"/>
  <c r="I212" i="5" s="1"/>
  <c r="K237" i="5"/>
  <c r="K232" i="5" s="1"/>
  <c r="O237" i="5"/>
  <c r="O232" i="5" s="1"/>
  <c r="M237" i="5"/>
  <c r="M232" i="5" s="1"/>
  <c r="P237" i="5"/>
  <c r="P228" i="5" s="1"/>
  <c r="G237" i="5"/>
  <c r="G235" i="5" s="1"/>
  <c r="D238" i="5"/>
  <c r="H229" i="5"/>
  <c r="H228" i="5"/>
  <c r="H227" i="5"/>
  <c r="H226" i="5"/>
  <c r="H225" i="5"/>
  <c r="H224" i="5"/>
  <c r="H223" i="5"/>
  <c r="H222" i="5"/>
  <c r="H221" i="5"/>
  <c r="H220" i="5"/>
  <c r="H219" i="5"/>
  <c r="H218" i="5"/>
  <c r="H217" i="5"/>
  <c r="H216" i="5"/>
  <c r="H215" i="5"/>
  <c r="H214" i="5"/>
  <c r="H232" i="5"/>
  <c r="H209" i="5"/>
  <c r="H235" i="5"/>
  <c r="H231" i="5"/>
  <c r="H234" i="5"/>
  <c r="H212" i="5"/>
  <c r="H199" i="5"/>
  <c r="H198" i="5"/>
  <c r="H18" i="5" s="1"/>
  <c r="H197" i="5"/>
  <c r="H196" i="5"/>
  <c r="H195" i="5"/>
  <c r="H208" i="5"/>
  <c r="H205" i="5"/>
  <c r="H233" i="5"/>
  <c r="H207" i="5"/>
  <c r="H204" i="5"/>
  <c r="H191" i="5"/>
  <c r="H188" i="5"/>
  <c r="H187" i="5" s="1"/>
  <c r="H203" i="5"/>
  <c r="H193" i="5"/>
  <c r="H192" i="5" s="1"/>
  <c r="H190" i="5"/>
  <c r="H211" i="5"/>
  <c r="H202" i="5"/>
  <c r="E212" i="5"/>
  <c r="E234" i="5"/>
  <c r="E227" i="5"/>
  <c r="E223" i="5"/>
  <c r="E219" i="5"/>
  <c r="E215" i="5"/>
  <c r="E233" i="5"/>
  <c r="E232" i="5"/>
  <c r="E229" i="5"/>
  <c r="E225" i="5"/>
  <c r="E221" i="5"/>
  <c r="E217" i="5"/>
  <c r="E211" i="5"/>
  <c r="E193" i="5"/>
  <c r="E192" i="5" s="1"/>
  <c r="E226" i="5"/>
  <c r="E218" i="5"/>
  <c r="E203" i="5"/>
  <c r="E235" i="5"/>
  <c r="E224" i="5"/>
  <c r="E216" i="5"/>
  <c r="E209" i="5"/>
  <c r="E202" i="5"/>
  <c r="E199" i="5"/>
  <c r="E195" i="5"/>
  <c r="E231" i="5"/>
  <c r="E222" i="5"/>
  <c r="E214" i="5"/>
  <c r="E208" i="5"/>
  <c r="E205" i="5"/>
  <c r="E198" i="5"/>
  <c r="E18" i="5" s="1"/>
  <c r="E228" i="5"/>
  <c r="E220" i="5"/>
  <c r="E207" i="5"/>
  <c r="E204" i="5"/>
  <c r="E197" i="5"/>
  <c r="E191" i="5"/>
  <c r="E188" i="5"/>
  <c r="E187" i="5" s="1"/>
  <c r="E196" i="5"/>
  <c r="E190" i="5"/>
  <c r="K235" i="5"/>
  <c r="K233" i="5"/>
  <c r="K226" i="5"/>
  <c r="K229" i="5"/>
  <c r="K220" i="5"/>
  <c r="K204" i="5"/>
  <c r="K227" i="5"/>
  <c r="K225" i="5"/>
  <c r="K211" i="5"/>
  <c r="K207" i="5"/>
  <c r="K191" i="5"/>
  <c r="K199" i="5"/>
  <c r="K197" i="5" l="1"/>
  <c r="K202" i="5"/>
  <c r="K214" i="5"/>
  <c r="K190" i="5"/>
  <c r="K223" i="5"/>
  <c r="K217" i="5"/>
  <c r="K221" i="5"/>
  <c r="J221" i="5" s="1"/>
  <c r="K216" i="5"/>
  <c r="K212" i="5"/>
  <c r="K210" i="5" s="1"/>
  <c r="K231" i="5"/>
  <c r="H189" i="5"/>
  <c r="K195" i="5"/>
  <c r="K196" i="5"/>
  <c r="K208" i="5"/>
  <c r="K219" i="5"/>
  <c r="K203" i="5"/>
  <c r="K224" i="5"/>
  <c r="K222" i="5"/>
  <c r="K234" i="5"/>
  <c r="G225" i="5"/>
  <c r="L229" i="5"/>
  <c r="G228" i="5"/>
  <c r="O226" i="5"/>
  <c r="P233" i="5"/>
  <c r="O197" i="5"/>
  <c r="M219" i="5"/>
  <c r="L193" i="5"/>
  <c r="L192" i="5" s="1"/>
  <c r="M209" i="5"/>
  <c r="O202" i="5"/>
  <c r="O21" i="5" s="1"/>
  <c r="L218" i="5"/>
  <c r="I193" i="5"/>
  <c r="I192" i="5" s="1"/>
  <c r="K193" i="5"/>
  <c r="K215" i="5"/>
  <c r="K209" i="5"/>
  <c r="K198" i="5"/>
  <c r="K18" i="5" s="1"/>
  <c r="K188" i="5"/>
  <c r="K187" i="5" s="1"/>
  <c r="K205" i="5"/>
  <c r="K228" i="5"/>
  <c r="K218" i="5"/>
  <c r="O227" i="5"/>
  <c r="G216" i="5"/>
  <c r="G233" i="5"/>
  <c r="G199" i="5"/>
  <c r="G188" i="5"/>
  <c r="G187" i="5" s="1"/>
  <c r="G234" i="5"/>
  <c r="G226" i="5"/>
  <c r="G205" i="5"/>
  <c r="O195" i="5"/>
  <c r="O17" i="5" s="1"/>
  <c r="N223" i="5"/>
  <c r="L212" i="5"/>
  <c r="M198" i="5"/>
  <c r="M18" i="5" s="1"/>
  <c r="M199" i="5"/>
  <c r="O198" i="5"/>
  <c r="O18" i="5" s="1"/>
  <c r="O225" i="5"/>
  <c r="P227" i="5"/>
  <c r="L198" i="5"/>
  <c r="L18" i="5" s="1"/>
  <c r="J237" i="5"/>
  <c r="M203" i="5"/>
  <c r="N222" i="5"/>
  <c r="M197" i="5"/>
  <c r="M221" i="5"/>
  <c r="O224" i="5"/>
  <c r="O223" i="5"/>
  <c r="P205" i="5"/>
  <c r="I211" i="5"/>
  <c r="I210" i="5" s="1"/>
  <c r="L211" i="5"/>
  <c r="L210" i="5" s="1"/>
  <c r="M223" i="5"/>
  <c r="N198" i="5"/>
  <c r="N18" i="5" s="1"/>
  <c r="M190" i="5"/>
  <c r="M218" i="5"/>
  <c r="O196" i="5"/>
  <c r="O19" i="5" s="1"/>
  <c r="O216" i="5"/>
  <c r="O205" i="5"/>
  <c r="O235" i="5"/>
  <c r="N233" i="5"/>
  <c r="I191" i="5"/>
  <c r="L208" i="5"/>
  <c r="L216" i="5"/>
  <c r="M195" i="5"/>
  <c r="M17" i="5" s="1"/>
  <c r="M224" i="5"/>
  <c r="M233" i="5"/>
  <c r="M225" i="5"/>
  <c r="O214" i="5"/>
  <c r="O218" i="5"/>
  <c r="O217" i="5"/>
  <c r="O231" i="5"/>
  <c r="N204" i="5"/>
  <c r="P231" i="5"/>
  <c r="I190" i="5"/>
  <c r="L207" i="5"/>
  <c r="L231" i="5"/>
  <c r="L221" i="5"/>
  <c r="L226" i="5"/>
  <c r="M222" i="5"/>
  <c r="M191" i="5"/>
  <c r="M208" i="5"/>
  <c r="M231" i="5"/>
  <c r="O191" i="5"/>
  <c r="O190" i="5"/>
  <c r="O212" i="5"/>
  <c r="O203" i="5"/>
  <c r="O229" i="5"/>
  <c r="O234" i="5"/>
  <c r="N211" i="5"/>
  <c r="N216" i="5"/>
  <c r="P219" i="5"/>
  <c r="I196" i="5"/>
  <c r="I19" i="5" s="1"/>
  <c r="L188" i="5"/>
  <c r="L187" i="5" s="1"/>
  <c r="L197" i="5"/>
  <c r="L233" i="5"/>
  <c r="L222" i="5"/>
  <c r="M214" i="5"/>
  <c r="M216" i="5"/>
  <c r="M204" i="5"/>
  <c r="M220" i="5"/>
  <c r="M234" i="5"/>
  <c r="M212" i="5"/>
  <c r="O220" i="5"/>
  <c r="O193" i="5"/>
  <c r="O192" i="5" s="1"/>
  <c r="O207" i="5"/>
  <c r="O188" i="5"/>
  <c r="O187" i="5" s="1"/>
  <c r="O211" i="5"/>
  <c r="O215" i="5"/>
  <c r="O233" i="5"/>
  <c r="N193" i="5"/>
  <c r="N192" i="5" s="1"/>
  <c r="N191" i="5"/>
  <c r="P188" i="5"/>
  <c r="P187" i="5" s="1"/>
  <c r="P217" i="5"/>
  <c r="I208" i="5"/>
  <c r="I233" i="5"/>
  <c r="F233" i="5" s="1"/>
  <c r="L204" i="5"/>
  <c r="L202" i="5"/>
  <c r="L21" i="5" s="1"/>
  <c r="L232" i="5"/>
  <c r="J232" i="5" s="1"/>
  <c r="L217" i="5"/>
  <c r="L224" i="5"/>
  <c r="O208" i="5"/>
  <c r="O222" i="5"/>
  <c r="O199" i="5"/>
  <c r="O209" i="5"/>
  <c r="O228" i="5"/>
  <c r="O204" i="5"/>
  <c r="O201" i="5" s="1"/>
  <c r="O20" i="5" s="1"/>
  <c r="O221" i="5"/>
  <c r="O219" i="5"/>
  <c r="N197" i="5"/>
  <c r="N229" i="5"/>
  <c r="N207" i="5"/>
  <c r="N235" i="5"/>
  <c r="P197" i="5"/>
  <c r="P221" i="5"/>
  <c r="I195" i="5"/>
  <c r="I17" i="5" s="1"/>
  <c r="I222" i="5"/>
  <c r="L203" i="5"/>
  <c r="L234" i="5"/>
  <c r="L196" i="5"/>
  <c r="L19" i="5" s="1"/>
  <c r="L235" i="5"/>
  <c r="L214" i="5"/>
  <c r="L220" i="5"/>
  <c r="L225" i="5"/>
  <c r="J225" i="5" s="1"/>
  <c r="L190" i="5"/>
  <c r="L191" i="5"/>
  <c r="L205" i="5"/>
  <c r="L195" i="5"/>
  <c r="L17" i="5" s="1"/>
  <c r="L199" i="5"/>
  <c r="L209" i="5"/>
  <c r="L215" i="5"/>
  <c r="L219" i="5"/>
  <c r="L223" i="5"/>
  <c r="L227" i="5"/>
  <c r="M226" i="5"/>
  <c r="J226" i="5" s="1"/>
  <c r="M215" i="5"/>
  <c r="M228" i="5"/>
  <c r="M229" i="5"/>
  <c r="N199" i="5"/>
  <c r="N225" i="5"/>
  <c r="N212" i="5"/>
  <c r="N231" i="5"/>
  <c r="P208" i="5"/>
  <c r="P209" i="5"/>
  <c r="P226" i="5"/>
  <c r="I225" i="5"/>
  <c r="F225" i="5" s="1"/>
  <c r="I221" i="5"/>
  <c r="I224" i="5"/>
  <c r="G195" i="5"/>
  <c r="G17" i="5" s="1"/>
  <c r="G208" i="5"/>
  <c r="G219" i="5"/>
  <c r="M202" i="5"/>
  <c r="M21" i="5" s="1"/>
  <c r="M196" i="5"/>
  <c r="M19" i="5" s="1"/>
  <c r="M188" i="5"/>
  <c r="M187" i="5" s="1"/>
  <c r="M207" i="5"/>
  <c r="M205" i="5"/>
  <c r="M193" i="5"/>
  <c r="M192" i="5" s="1"/>
  <c r="M227" i="5"/>
  <c r="J227" i="5" s="1"/>
  <c r="M235" i="5"/>
  <c r="M211" i="5"/>
  <c r="J211" i="5" s="1"/>
  <c r="N195" i="5"/>
  <c r="N17" i="5" s="1"/>
  <c r="N196" i="5"/>
  <c r="N19" i="5" s="1"/>
  <c r="N190" i="5"/>
  <c r="N214" i="5"/>
  <c r="N220" i="5"/>
  <c r="P204" i="5"/>
  <c r="P196" i="5"/>
  <c r="P19" i="5" s="1"/>
  <c r="P214" i="5"/>
  <c r="P225" i="5"/>
  <c r="I198" i="5"/>
  <c r="I18" i="5" s="1"/>
  <c r="I199" i="5"/>
  <c r="I223" i="5"/>
  <c r="I220" i="5"/>
  <c r="G207" i="5"/>
  <c r="G224" i="5"/>
  <c r="G227" i="5"/>
  <c r="M217" i="5"/>
  <c r="N205" i="5"/>
  <c r="N215" i="5"/>
  <c r="N203" i="5"/>
  <c r="N219" i="5"/>
  <c r="N209" i="5"/>
  <c r="N226" i="5"/>
  <c r="N224" i="5"/>
  <c r="P191" i="5"/>
  <c r="P203" i="5"/>
  <c r="P232" i="5"/>
  <c r="P215" i="5"/>
  <c r="P222" i="5"/>
  <c r="I188" i="5"/>
  <c r="I187" i="5" s="1"/>
  <c r="I217" i="5"/>
  <c r="I202" i="5"/>
  <c r="I21" i="5" s="1"/>
  <c r="I207" i="5"/>
  <c r="I226" i="5"/>
  <c r="I231" i="5"/>
  <c r="G193" i="5"/>
  <c r="G192" i="5" s="1"/>
  <c r="G191" i="5"/>
  <c r="G214" i="5"/>
  <c r="G204" i="5"/>
  <c r="G221" i="5"/>
  <c r="P190" i="5"/>
  <c r="P189" i="5" s="1"/>
  <c r="P235" i="5"/>
  <c r="P211" i="5"/>
  <c r="P198" i="5"/>
  <c r="P18" i="5" s="1"/>
  <c r="P234" i="5"/>
  <c r="P218" i="5"/>
  <c r="P223" i="5"/>
  <c r="P229" i="5"/>
  <c r="I205" i="5"/>
  <c r="F205" i="5" s="1"/>
  <c r="I229" i="5"/>
  <c r="I227" i="5"/>
  <c r="I204" i="5"/>
  <c r="I214" i="5"/>
  <c r="I216" i="5"/>
  <c r="I235" i="5"/>
  <c r="F235" i="5" s="1"/>
  <c r="G198" i="5"/>
  <c r="G18" i="5" s="1"/>
  <c r="G218" i="5"/>
  <c r="G220" i="5"/>
  <c r="G222" i="5"/>
  <c r="G203" i="5"/>
  <c r="G223" i="5"/>
  <c r="G229" i="5"/>
  <c r="F229" i="5" s="1"/>
  <c r="F237" i="5"/>
  <c r="D237" i="5" s="1"/>
  <c r="N188" i="5"/>
  <c r="N187" i="5" s="1"/>
  <c r="N221" i="5"/>
  <c r="N202" i="5"/>
  <c r="N21" i="5" s="1"/>
  <c r="N232" i="5"/>
  <c r="N217" i="5"/>
  <c r="N227" i="5"/>
  <c r="N208" i="5"/>
  <c r="N218" i="5"/>
  <c r="N234" i="5"/>
  <c r="P193" i="5"/>
  <c r="P192" i="5" s="1"/>
  <c r="P207" i="5"/>
  <c r="P202" i="5"/>
  <c r="P195" i="5"/>
  <c r="P17" i="5" s="1"/>
  <c r="P199" i="5"/>
  <c r="P212" i="5"/>
  <c r="P216" i="5"/>
  <c r="P220" i="5"/>
  <c r="P224" i="5"/>
  <c r="I197" i="5"/>
  <c r="I209" i="5"/>
  <c r="I232" i="5"/>
  <c r="I219" i="5"/>
  <c r="I203" i="5"/>
  <c r="I215" i="5"/>
  <c r="I218" i="5"/>
  <c r="I234" i="5"/>
  <c r="I228" i="5"/>
  <c r="G190" i="5"/>
  <c r="F190" i="5" s="1"/>
  <c r="G212" i="5"/>
  <c r="F212" i="5" s="1"/>
  <c r="G196" i="5"/>
  <c r="F196" i="5" s="1"/>
  <c r="G197" i="5"/>
  <c r="G209" i="5"/>
  <c r="F209" i="5" s="1"/>
  <c r="G202" i="5"/>
  <c r="G21" i="5" s="1"/>
  <c r="G215" i="5"/>
  <c r="G211" i="5"/>
  <c r="G232" i="5"/>
  <c r="G217" i="5"/>
  <c r="G231" i="5"/>
  <c r="H210" i="5"/>
  <c r="E189" i="5"/>
  <c r="E213" i="5"/>
  <c r="E19" i="5"/>
  <c r="E22" i="5"/>
  <c r="E201" i="5"/>
  <c r="E20" i="5" s="1"/>
  <c r="E21" i="5"/>
  <c r="H230" i="5"/>
  <c r="H213" i="5"/>
  <c r="K17" i="5"/>
  <c r="K21" i="5"/>
  <c r="K19" i="5"/>
  <c r="K189" i="5"/>
  <c r="K206" i="5"/>
  <c r="K230" i="5"/>
  <c r="E206" i="5"/>
  <c r="E230" i="5"/>
  <c r="E210" i="5"/>
  <c r="H201" i="5"/>
  <c r="H20" i="5" s="1"/>
  <c r="H21" i="5"/>
  <c r="H206" i="5"/>
  <c r="H194" i="5"/>
  <c r="H16" i="5" s="1"/>
  <c r="H17" i="5"/>
  <c r="K192" i="5"/>
  <c r="E194" i="5"/>
  <c r="E16" i="5" s="1"/>
  <c r="E17" i="5"/>
  <c r="H19" i="5"/>
  <c r="H22" i="5"/>
  <c r="F228" i="5" l="1"/>
  <c r="K201" i="5"/>
  <c r="J214" i="5"/>
  <c r="J223" i="5"/>
  <c r="K213" i="5"/>
  <c r="K194" i="5"/>
  <c r="K22" i="5"/>
  <c r="F192" i="5"/>
  <c r="J219" i="5"/>
  <c r="O210" i="5"/>
  <c r="J229" i="5"/>
  <c r="F211" i="5"/>
  <c r="F216" i="5"/>
  <c r="F193" i="5"/>
  <c r="F226" i="5"/>
  <c r="J209" i="5"/>
  <c r="J203" i="5"/>
  <c r="F204" i="5"/>
  <c r="J207" i="5"/>
  <c r="F203" i="5"/>
  <c r="M189" i="5"/>
  <c r="J218" i="5"/>
  <c r="J231" i="5"/>
  <c r="L22" i="5"/>
  <c r="J198" i="5"/>
  <c r="J18" i="5" s="1"/>
  <c r="M206" i="5"/>
  <c r="J197" i="5"/>
  <c r="L206" i="5"/>
  <c r="J195" i="5"/>
  <c r="J17" i="5" s="1"/>
  <c r="M201" i="5"/>
  <c r="M20" i="5" s="1"/>
  <c r="J228" i="5"/>
  <c r="F224" i="5"/>
  <c r="F221" i="5"/>
  <c r="J212" i="5"/>
  <c r="J216" i="5"/>
  <c r="J233" i="5"/>
  <c r="J202" i="5"/>
  <c r="J21" i="5" s="1"/>
  <c r="F195" i="5"/>
  <c r="F17" i="5" s="1"/>
  <c r="F188" i="5"/>
  <c r="F187" i="5" s="1"/>
  <c r="F199" i="5"/>
  <c r="J191" i="5"/>
  <c r="O22" i="5"/>
  <c r="I189" i="5"/>
  <c r="F219" i="5"/>
  <c r="F218" i="5"/>
  <c r="F191" i="5"/>
  <c r="F189" i="5" s="1"/>
  <c r="M194" i="5"/>
  <c r="M16" i="5" s="1"/>
  <c r="J199" i="5"/>
  <c r="J190" i="5"/>
  <c r="J204" i="5"/>
  <c r="J222" i="5"/>
  <c r="O189" i="5"/>
  <c r="O194" i="5"/>
  <c r="O16" i="5" s="1"/>
  <c r="F198" i="5"/>
  <c r="F18" i="5" s="1"/>
  <c r="J188" i="5"/>
  <c r="J187" i="5" s="1"/>
  <c r="J192" i="5"/>
  <c r="N201" i="5"/>
  <c r="N20" i="5" s="1"/>
  <c r="F197" i="5"/>
  <c r="F207" i="5"/>
  <c r="N210" i="5"/>
  <c r="L189" i="5"/>
  <c r="J189" i="5" s="1"/>
  <c r="O206" i="5"/>
  <c r="J224" i="5"/>
  <c r="L213" i="5"/>
  <c r="J215" i="5"/>
  <c r="J205" i="5"/>
  <c r="J234" i="5"/>
  <c r="L230" i="5"/>
  <c r="G206" i="5"/>
  <c r="L194" i="5"/>
  <c r="L16" i="5" s="1"/>
  <c r="M22" i="5"/>
  <c r="J193" i="5"/>
  <c r="J220" i="5"/>
  <c r="P206" i="5"/>
  <c r="F220" i="5"/>
  <c r="N22" i="5"/>
  <c r="F208" i="5"/>
  <c r="L201" i="5"/>
  <c r="L20" i="5" s="1"/>
  <c r="O230" i="5"/>
  <c r="J208" i="5"/>
  <c r="J235" i="5"/>
  <c r="J196" i="5"/>
  <c r="J19" i="5" s="1"/>
  <c r="G22" i="5"/>
  <c r="G230" i="5"/>
  <c r="P201" i="5"/>
  <c r="P20" i="5" s="1"/>
  <c r="F222" i="5"/>
  <c r="N189" i="5"/>
  <c r="M230" i="5"/>
  <c r="J230" i="5" s="1"/>
  <c r="O213" i="5"/>
  <c r="F214" i="5"/>
  <c r="N194" i="5"/>
  <c r="N16" i="5" s="1"/>
  <c r="F232" i="5"/>
  <c r="P21" i="5"/>
  <c r="J217" i="5"/>
  <c r="F217" i="5"/>
  <c r="M210" i="5"/>
  <c r="J210" i="5" s="1"/>
  <c r="G210" i="5"/>
  <c r="F210" i="5" s="1"/>
  <c r="P213" i="5"/>
  <c r="P210" i="5"/>
  <c r="P22" i="5"/>
  <c r="G201" i="5"/>
  <c r="G20" i="5" s="1"/>
  <c r="F231" i="5"/>
  <c r="F215" i="5"/>
  <c r="F223" i="5"/>
  <c r="I206" i="5"/>
  <c r="F206" i="5" s="1"/>
  <c r="M213" i="5"/>
  <c r="I213" i="5"/>
  <c r="I230" i="5"/>
  <c r="F230" i="5" s="1"/>
  <c r="N230" i="5"/>
  <c r="N213" i="5"/>
  <c r="I201" i="5"/>
  <c r="I20" i="5" s="1"/>
  <c r="N206" i="5"/>
  <c r="F202" i="5"/>
  <c r="F21" i="5" s="1"/>
  <c r="G19" i="5"/>
  <c r="I194" i="5"/>
  <c r="I16" i="5" s="1"/>
  <c r="F227" i="5"/>
  <c r="P230" i="5"/>
  <c r="I22" i="5"/>
  <c r="G194" i="5"/>
  <c r="G189" i="5"/>
  <c r="P194" i="5"/>
  <c r="P16" i="5" s="1"/>
  <c r="G213" i="5"/>
  <c r="F234" i="5"/>
  <c r="H186" i="5"/>
  <c r="H27" i="5" s="1"/>
  <c r="H24" i="5" s="1"/>
  <c r="F19" i="5"/>
  <c r="K20" i="5"/>
  <c r="K16" i="5"/>
  <c r="E186" i="5"/>
  <c r="K186" i="5" l="1"/>
  <c r="K27" i="5" s="1"/>
  <c r="J206" i="5"/>
  <c r="L186" i="5"/>
  <c r="L23" i="5" s="1"/>
  <c r="D46" i="4" s="1"/>
  <c r="J194" i="5"/>
  <c r="J16" i="5" s="1"/>
  <c r="J213" i="5"/>
  <c r="O186" i="5"/>
  <c r="O23" i="5" s="1"/>
  <c r="D51" i="4" s="1"/>
  <c r="D84" i="4" s="1"/>
  <c r="J22" i="5"/>
  <c r="J201" i="5"/>
  <c r="J20" i="5" s="1"/>
  <c r="F213" i="5"/>
  <c r="F194" i="5"/>
  <c r="F16" i="5" s="1"/>
  <c r="F201" i="5"/>
  <c r="F20" i="5" s="1"/>
  <c r="G16" i="5"/>
  <c r="G186" i="5"/>
  <c r="G23" i="5" s="1"/>
  <c r="N186" i="5"/>
  <c r="N23" i="5" s="1"/>
  <c r="D48" i="4" s="1"/>
  <c r="D81" i="4" s="1"/>
  <c r="D95" i="4" s="1"/>
  <c r="M186" i="5"/>
  <c r="M23" i="5" s="1"/>
  <c r="D47" i="4" s="1"/>
  <c r="P186" i="5"/>
  <c r="P23" i="5" s="1"/>
  <c r="D52" i="4" s="1"/>
  <c r="D85" i="4" s="1"/>
  <c r="F22" i="5"/>
  <c r="E38" i="9"/>
  <c r="E39" i="9" s="1"/>
  <c r="I186" i="5"/>
  <c r="I23" i="5" s="1"/>
  <c r="H23" i="5"/>
  <c r="K24" i="5"/>
  <c r="E27" i="5"/>
  <c r="E23" i="5"/>
  <c r="D49" i="4" s="1"/>
  <c r="D82" i="4" s="1"/>
  <c r="D96" i="4" s="1"/>
  <c r="L27" i="5" l="1"/>
  <c r="L24" i="5" s="1"/>
  <c r="K23" i="5"/>
  <c r="D45" i="4" s="1"/>
  <c r="G27" i="5"/>
  <c r="G24" i="5" s="1"/>
  <c r="O27" i="5"/>
  <c r="O24" i="5" s="1"/>
  <c r="J186" i="5"/>
  <c r="J23" i="5" s="1"/>
  <c r="D44" i="4" s="1"/>
  <c r="D23" i="4" s="1"/>
  <c r="D80" i="4" s="1"/>
  <c r="D94" i="4" s="1"/>
  <c r="F186" i="5"/>
  <c r="F23" i="5" s="1"/>
  <c r="D43" i="4" s="1"/>
  <c r="M27" i="5"/>
  <c r="M24" i="5" s="1"/>
  <c r="D50" i="4"/>
  <c r="D83" i="4" s="1"/>
  <c r="N27" i="5"/>
  <c r="N24" i="5" s="1"/>
  <c r="P27" i="5"/>
  <c r="P24" i="5" s="1"/>
  <c r="E37" i="9"/>
  <c r="I27" i="5"/>
  <c r="I24" i="5" s="1"/>
  <c r="E24" i="5"/>
  <c r="D42" i="4" l="1"/>
  <c r="D76" i="4"/>
  <c r="D90" i="4" s="1"/>
  <c r="D19" i="4"/>
  <c r="D79" i="4" s="1"/>
  <c r="D93" i="4" s="1"/>
  <c r="D16" i="4"/>
  <c r="D78" i="4" s="1"/>
  <c r="D92" i="4" s="1"/>
  <c r="D41" i="4"/>
  <c r="J27" i="5"/>
  <c r="J24" i="5" s="1"/>
  <c r="F27" i="5"/>
  <c r="F24" i="5" s="1"/>
  <c r="D24" i="5" l="1"/>
  <c r="D15" i="4"/>
  <c r="D77" i="4" s="1"/>
  <c r="D91" i="4" s="1"/>
  <c r="D27" i="5"/>
  <c r="D11" i="4" l="1"/>
  <c r="D75" i="4" s="1"/>
  <c r="D89" i="4" s="1"/>
</calcChain>
</file>

<file path=xl/sharedStrings.xml><?xml version="1.0" encoding="utf-8"?>
<sst xmlns="http://schemas.openxmlformats.org/spreadsheetml/2006/main" count="2532" uniqueCount="1250">
  <si>
    <t>Ūkio subjektas: UAB "Vilkaviškio vandenys"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</si>
  <si>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</si>
  <si>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</si>
  <si>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</si>
  <si>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</si>
  <si>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</si>
  <si>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</si>
  <si>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</si>
  <si>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</si>
  <si>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</si>
  <si>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</si>
  <si>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</si>
  <si>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</si>
  <si>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</si>
  <si>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</si>
  <si>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</si>
  <si>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</si>
  <si>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</si>
  <si>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</si>
  <si>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</si>
  <si>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</si>
  <si>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</si>
  <si>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</si>
  <si>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</si>
  <si>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</si>
  <si>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</si>
  <si>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</si>
  <si>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</si>
  <si>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</si>
  <si>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</si>
  <si>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</si>
  <si>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</si>
  <si>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</si>
  <si>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</si>
  <si>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</si>
  <si>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</si>
  <si>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</si>
  <si>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</si>
  <si>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</si>
  <si>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</si>
  <si>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</si>
  <si>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</si>
  <si>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</si>
  <si>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</si>
  <si>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</si>
  <si>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</si>
  <si>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</si>
  <si>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</si>
  <si>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</si>
  <si>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</si>
  <si>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</si>
  <si>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</si>
  <si>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</si>
  <si>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</si>
  <si>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</si>
  <si>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</si>
  <si>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</si>
  <si>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</si>
  <si>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</si>
  <si>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</si>
  <si>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</si>
  <si>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</si>
  <si>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</si>
  <si>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</si>
  <si>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</si>
  <si>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</si>
  <si>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</si>
  <si>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</si>
  <si>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</si>
  <si>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</si>
  <si>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</si>
  <si>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</si>
  <si>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</si>
  <si>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</si>
  <si>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</si>
  <si>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</si>
  <si>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</si>
  <si>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</si>
  <si>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</si>
  <si>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</si>
  <si>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</si>
  <si>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</si>
  <si>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</si>
  <si>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</si>
  <si>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</si>
  <si>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</si>
  <si>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</si>
  <si>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</si>
  <si>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</si>
  <si>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</si>
  <si>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</si>
  <si>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</si>
  <si>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</si>
  <si>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</si>
  <si>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</si>
  <si>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</si>
  <si>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</si>
  <si>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</si>
  <si>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</si>
  <si>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</si>
  <si>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</si>
  <si>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</si>
  <si>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</si>
  <si>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</si>
  <si>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</si>
  <si>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</si>
  <si>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</si>
  <si>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</si>
  <si>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</si>
  <si>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</si>
  <si>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</si>
  <si>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</si>
  <si>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</si>
  <si>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</si>
  <si>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</si>
  <si>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</si>
  <si>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</si>
  <si>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</si>
  <si>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</si>
  <si>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</si>
  <si>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</si>
  <si>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</si>
  <si>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</si>
  <si>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</si>
  <si>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</si>
  <si>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</si>
  <si>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</si>
  <si>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</si>
  <si>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</si>
  <si>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</si>
  <si>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</si>
  <si>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</si>
  <si>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</si>
  <si>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</si>
  <si>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</si>
  <si>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</si>
  <si>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</si>
  <si>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</si>
  <si>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</si>
  <si>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</si>
  <si>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</si>
  <si>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</si>
  <si>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</si>
  <si>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</si>
  <si>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</si>
  <si>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</si>
  <si>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</si>
  <si>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</si>
  <si>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</si>
  <si>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</si>
  <si>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</si>
  <si>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</si>
  <si>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</si>
  <si>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</si>
  <si>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</si>
  <si>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</si>
  <si>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</si>
  <si>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</si>
  <si>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</si>
  <si>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</si>
  <si>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</si>
  <si>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</si>
  <si>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</si>
  <si>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</si>
  <si>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</si>
  <si>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</si>
  <si>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</si>
  <si>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</si>
  <si>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</si>
  <si>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</si>
  <si>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</si>
  <si>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</si>
  <si>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</si>
  <si>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</si>
  <si>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</si>
  <si>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</si>
  <si>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</si>
  <si>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</si>
  <si>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</si>
  <si>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</si>
  <si>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</si>
  <si>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</si>
  <si>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</si>
  <si>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</si>
  <si>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</si>
  <si>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</si>
  <si>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</si>
  <si>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</si>
  <si>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</si>
  <si>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</si>
  <si>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</si>
  <si>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</si>
  <si>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</si>
  <si>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</si>
  <si>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</si>
  <si>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</si>
  <si>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</si>
  <si>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</si>
  <si>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</si>
  <si>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</si>
  <si>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</si>
  <si>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</si>
  <si>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</si>
  <si>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</si>
  <si>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</si>
  <si>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</si>
  <si>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</si>
  <si>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</si>
  <si>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</si>
  <si>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</si>
  <si>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</si>
  <si>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</si>
  <si>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</si>
  <si>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</si>
  <si>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</si>
  <si>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</si>
  <si>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</si>
  <si>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</si>
  <si>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</si>
  <si>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</si>
  <si>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</si>
  <si>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</si>
  <si>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</si>
  <si>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</si>
  <si>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</si>
  <si>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</si>
  <si>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</si>
  <si>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</si>
  <si>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</si>
  <si>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</si>
  <si>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</si>
  <si>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</si>
  <si>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</si>
  <si>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</si>
  <si>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</si>
  <si>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</si>
  <si>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</si>
  <si>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</si>
  <si>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</si>
  <si>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</si>
  <si>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</si>
  <si>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</si>
  <si>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</si>
  <si>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</si>
  <si>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</si>
  <si>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</si>
  <si>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</si>
  <si>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</si>
  <si>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</si>
  <si>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</si>
  <si>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</si>
  <si>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</si>
  <si>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</si>
  <si>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</si>
  <si>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</si>
  <si>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</si>
  <si>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</si>
  <si>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</si>
  <si>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</si>
  <si>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</si>
  <si>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</si>
  <si>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</si>
  <si>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</si>
  <si>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</si>
  <si>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</si>
  <si>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</si>
  <si>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</si>
  <si>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</si>
  <si>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</si>
  <si>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</si>
  <si>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</si>
  <si>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</si>
  <si>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</si>
  <si>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</si>
  <si>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</si>
  <si>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</si>
  <si>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</si>
  <si>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</si>
  <si>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</si>
  <si>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</si>
  <si>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</si>
  <si>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</si>
  <si>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</si>
  <si>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</si>
  <si>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</si>
  <si>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</si>
  <si>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</si>
  <si>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</si>
  <si>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</si>
  <si>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</si>
  <si>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</si>
  <si>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</si>
  <si>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</si>
  <si>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</si>
  <si>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</si>
  <si>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</si>
  <si>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</si>
  <si>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</si>
  <si>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</si>
  <si>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</si>
  <si>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</si>
  <si>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</si>
  <si>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</si>
  <si>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</si>
  <si>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</si>
  <si>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</si>
  <si>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</si>
  <si>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</si>
  <si>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</si>
  <si>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</si>
  <si>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</si>
  <si>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</si>
  <si>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</si>
  <si>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</si>
  <si>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</si>
  <si>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</si>
  <si>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</si>
  <si>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</si>
  <si>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</si>
  <si>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</si>
  <si>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</si>
  <si>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</si>
  <si>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</si>
  <si>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</si>
  <si>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</si>
  <si>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</si>
  <si>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</si>
  <si>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</si>
  <si>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</si>
  <si>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</si>
  <si>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</si>
  <si>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</si>
  <si>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</si>
  <si>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</si>
  <si>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</si>
  <si>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</si>
  <si>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</si>
  <si>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</si>
  <si>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</si>
  <si>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</si>
  <si>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</si>
  <si>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</si>
  <si>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</si>
  <si>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</si>
  <si>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</si>
  <si>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</si>
  <si>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</si>
  <si>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</si>
  <si>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</si>
  <si>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</si>
  <si>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</si>
  <si>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</si>
  <si>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</si>
  <si>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</si>
  <si>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</si>
  <si>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</si>
  <si>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</si>
  <si>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</si>
  <si>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</si>
  <si>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</si>
  <si>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</si>
  <si>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</si>
  <si>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</si>
  <si>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</si>
  <si>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</si>
  <si>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</si>
  <si>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</si>
  <si>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</si>
  <si>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</si>
  <si>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</si>
  <si>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</si>
  <si>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</si>
  <si>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</si>
  <si>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</si>
  <si>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</si>
  <si>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</si>
  <si>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</si>
  <si>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</si>
  <si>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</si>
  <si>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</si>
  <si>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</si>
  <si>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</si>
  <si>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</si>
  <si>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</si>
  <si>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</si>
  <si>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</si>
  <si>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</si>
  <si>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</si>
  <si>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</si>
  <si>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</si>
  <si>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</si>
  <si>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</si>
  <si>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</si>
  <si>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</si>
  <si>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</si>
  <si>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</si>
  <si>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</si>
  <si>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</si>
  <si>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</si>
  <si>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</si>
  <si>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</si>
  <si>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</si>
  <si>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</si>
  <si>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</si>
  <si>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</si>
  <si>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</si>
  <si>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</si>
  <si>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</si>
  <si>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</si>
  <si>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</si>
  <si>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</si>
  <si>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</si>
  <si>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</si>
  <si>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</si>
  <si>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</si>
  <si>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</si>
  <si>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</si>
  <si>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</si>
  <si>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</si>
  <si>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</si>
  <si>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</si>
  <si>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</si>
  <si>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</si>
  <si>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</si>
  <si>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</si>
  <si>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</si>
  <si>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</si>
  <si>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</si>
  <si>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</si>
  <si>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</si>
  <si>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</si>
  <si>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</si>
  <si>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</si>
  <si>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</si>
  <si>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</si>
  <si>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</si>
  <si>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</si>
  <si>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</si>
  <si>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</si>
  <si>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</si>
  <si>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</si>
  <si>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</si>
  <si>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</si>
  <si>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</si>
  <si>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</si>
  <si>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</si>
  <si>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</si>
  <si>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</si>
  <si>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</si>
  <si>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</si>
  <si>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</si>
  <si>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</si>
  <si>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</si>
  <si>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</si>
  <si>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</si>
  <si>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</si>
  <si>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</si>
  <si>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</si>
  <si>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</si>
  <si>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</si>
  <si>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</si>
  <si>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</si>
  <si>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</si>
  <si>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</si>
  <si>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</si>
  <si>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</si>
  <si>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</si>
  <si>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</si>
  <si>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</si>
  <si>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</si>
  <si>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</si>
  <si>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</si>
  <si>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</si>
  <si>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</si>
  <si>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</si>
  <si>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</si>
  <si>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</si>
  <si>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</si>
  <si>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</si>
  <si>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</si>
  <si>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</si>
  <si>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</si>
  <si>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</si>
  <si>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</si>
  <si>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</si>
  <si>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</si>
  <si>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</si>
  <si>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</si>
  <si>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</si>
  <si>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</si>
  <si>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</si>
  <si>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</si>
  <si>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</si>
  <si>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</si>
  <si>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</si>
  <si>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</si>
  <si>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</si>
  <si>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</si>
  <si>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</si>
  <si>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</si>
  <si>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</si>
  <si>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</si>
  <si>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</si>
  <si>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</si>
  <si>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</si>
  <si>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</si>
  <si>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</si>
  <si>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</si>
  <si>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</si>
  <si>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</si>
  <si>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</si>
  <si>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</si>
  <si>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</si>
  <si>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</si>
  <si>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</si>
  <si>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</si>
  <si>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</si>
  <si>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</si>
  <si>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</si>
  <si>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</si>
  <si>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</si>
  <si>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</si>
  <si>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</si>
  <si>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</si>
  <si>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</si>
  <si>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</si>
  <si>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</si>
  <si>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</si>
  <si>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</si>
  <si>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</si>
  <si>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</si>
  <si>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</si>
  <si>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</si>
  <si>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</si>
  <si>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</si>
  <si>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</si>
  <si>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</si>
  <si>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</si>
  <si>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</si>
  <si>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</si>
  <si>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</si>
  <si>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</si>
  <si>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</si>
  <si>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</si>
  <si>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</si>
  <si>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</si>
  <si>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</si>
  <si>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</si>
  <si>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</si>
  <si>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</si>
  <si>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</si>
  <si>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</si>
  <si>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</si>
  <si>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</si>
  <si>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</si>
  <si>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</si>
  <si>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</si>
  <si>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</si>
  <si>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</si>
  <si>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</si>
  <si>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</si>
  <si>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</si>
  <si>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</si>
  <si>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</si>
  <si>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</si>
  <si>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</si>
  <si>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</si>
  <si>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</si>
  <si>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</si>
  <si>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</si>
  <si>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</si>
  <si>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</si>
  <si>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</si>
  <si>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</si>
  <si>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</si>
  <si>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</si>
  <si>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</si>
  <si>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</si>
  <si>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</si>
  <si>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</si>
  <si>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</si>
  <si>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</si>
  <si>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</si>
  <si>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</si>
  <si>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</si>
  <si>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</si>
  <si>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</si>
  <si>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</si>
  <si>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</si>
  <si>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</si>
  <si>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</si>
  <si>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</si>
  <si>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</si>
  <si>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</si>
  <si>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</si>
  <si>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</si>
  <si>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</si>
  <si>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</si>
  <si>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</si>
  <si>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</si>
  <si>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</si>
  <si>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</si>
  <si>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</si>
  <si>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</si>
  <si>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</si>
  <si>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</si>
  <si>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</si>
  <si>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</si>
  <si>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</si>
  <si>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</si>
  <si>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</si>
  <si>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</si>
  <si>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</si>
  <si>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</si>
  <si>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</si>
  <si>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</si>
  <si>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</si>
  <si>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</si>
  <si>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</si>
  <si>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</si>
  <si>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</si>
  <si>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</si>
  <si>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</si>
  <si>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</si>
  <si>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</si>
  <si>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</si>
  <si>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</si>
  <si>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</si>
  <si>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</si>
  <si>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</si>
  <si>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</si>
  <si>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</si>
  <si>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</si>
  <si>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</si>
  <si>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</si>
  <si>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</si>
  <si>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</si>
  <si>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</si>
  <si>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</si>
  <si>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</si>
  <si>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</si>
  <si>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</si>
  <si>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</si>
  <si>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</si>
  <si>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</si>
  <si>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</si>
  <si>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</si>
  <si>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</si>
  <si>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</si>
  <si>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</si>
  <si>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</si>
  <si>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</si>
  <si>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</si>
  <si>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</si>
  <si>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</si>
  <si>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</si>
  <si>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</si>
  <si>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</si>
  <si>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</si>
  <si>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</si>
  <si>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</si>
  <si>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</si>
  <si>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</si>
  <si>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</si>
  <si>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</si>
  <si>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</si>
  <si>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</si>
  <si>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</si>
  <si>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</si>
  <si>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</si>
  <si>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</si>
  <si>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</si>
  <si>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</si>
  <si>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</si>
  <si>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</si>
  <si>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</si>
  <si>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</si>
  <si>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</si>
  <si>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</si>
  <si>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</si>
  <si>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</si>
  <si>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</si>
  <si>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</si>
  <si>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</si>
  <si>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</si>
  <si>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</si>
  <si>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</si>
  <si>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</si>
  <si>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</si>
  <si>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</si>
  <si>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</si>
  <si>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</si>
  <si>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</si>
  <si>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</si>
  <si>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</si>
  <si>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</si>
  <si>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</si>
  <si>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</si>
  <si>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</si>
  <si>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</si>
  <si>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</si>
  <si>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</si>
  <si>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</si>
  <si>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</si>
  <si>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</si>
  <si>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</si>
  <si>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</si>
  <si>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</si>
  <si>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</si>
  <si>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</si>
  <si>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</si>
  <si>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</si>
  <si>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</si>
  <si>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</si>
  <si>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</si>
  <si>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</si>
  <si>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</si>
  <si>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</si>
  <si>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</si>
  <si>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</si>
  <si>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</si>
  <si>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</si>
  <si>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</si>
  <si>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</si>
  <si>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</si>
  <si>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</si>
  <si>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</si>
  <si>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</si>
  <si>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</si>
  <si>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</si>
  <si>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</si>
  <si>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</si>
  <si>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</si>
  <si>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</si>
  <si>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</si>
  <si>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</si>
  <si>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</si>
  <si>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</si>
  <si>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</si>
  <si>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</si>
  <si>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</si>
  <si>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</si>
  <si>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</si>
  <si>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</si>
  <si>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</si>
  <si>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</si>
  <si>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</si>
  <si>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</si>
  <si>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</si>
  <si>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</si>
  <si>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</si>
  <si>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</si>
  <si>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</si>
  <si>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</si>
  <si>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</si>
  <si>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</si>
  <si>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</si>
  <si>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</si>
  <si>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</si>
  <si>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</si>
  <si>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</si>
  <si>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</si>
  <si>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</si>
  <si>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</si>
  <si>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</si>
  <si>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</si>
  <si>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</si>
  <si>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</si>
  <si>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</si>
  <si>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</si>
  <si>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</si>
  <si>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</si>
  <si>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</si>
  <si>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</si>
  <si>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</si>
  <si>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</si>
  <si>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</si>
  <si>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</si>
  <si>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</si>
  <si>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</si>
  <si>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</si>
  <si>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</si>
  <si>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</si>
  <si>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</si>
  <si>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</si>
  <si>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</si>
  <si>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</si>
  <si>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</si>
  <si>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</si>
  <si>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</si>
  <si>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</si>
  <si>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</si>
  <si>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</si>
  <si>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</si>
  <si>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</si>
  <si>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</si>
  <si>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</si>
  <si>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</si>
  <si>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</si>
  <si>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</si>
  <si>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</si>
  <si>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</si>
  <si>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</si>
  <si>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</si>
  <si>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</si>
  <si>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</si>
  <si>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</si>
  <si>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</si>
  <si>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</si>
  <si>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</si>
  <si>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</si>
  <si>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</si>
  <si>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</si>
  <si>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</si>
  <si>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</si>
  <si>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</si>
  <si>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</si>
  <si>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</si>
  <si>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</si>
  <si>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</si>
  <si>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</si>
  <si>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</si>
  <si>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</si>
  <si>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</si>
  <si>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</si>
  <si>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</si>
  <si>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</si>
  <si>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</si>
  <si>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</si>
  <si>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</si>
  <si>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</si>
  <si>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</si>
  <si>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</si>
  <si>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</si>
  <si>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</si>
  <si>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</si>
  <si>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</si>
  <si>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</si>
  <si>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</si>
  <si>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</si>
  <si>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</si>
  <si>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</si>
  <si>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</si>
  <si>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</si>
  <si>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</si>
  <si>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</si>
  <si>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</si>
  <si>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</si>
  <si>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</si>
  <si>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</si>
  <si>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</si>
  <si>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</si>
  <si>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</si>
  <si>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</si>
  <si>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</si>
  <si>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</si>
  <si>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</si>
  <si>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</si>
  <si>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</si>
  <si>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</si>
  <si>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</si>
  <si>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</si>
  <si>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</si>
  <si>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</si>
  <si>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</si>
  <si>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</si>
  <si>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</si>
  <si>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</si>
  <si>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</si>
  <si>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</si>
  <si>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</si>
  <si>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</si>
  <si>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</si>
  <si>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</si>
  <si>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</si>
  <si>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</si>
  <si>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</si>
  <si>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</si>
  <si>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</si>
  <si>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</si>
  <si>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</si>
  <si>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</si>
  <si>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</si>
  <si>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</si>
  <si>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</si>
  <si>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</si>
  <si>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</si>
  <si>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</si>
  <si>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</si>
  <si>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</si>
  <si>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</si>
  <si>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</si>
  <si>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</si>
  <si>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</si>
  <si>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</si>
  <si>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</si>
  <si>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</si>
  <si>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</si>
  <si>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</si>
  <si>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</si>
  <si>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</si>
  <si>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</si>
  <si>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</si>
  <si>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</si>
  <si>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</si>
  <si>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</si>
  <si>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</si>
  <si>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</si>
  <si>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</si>
  <si>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</si>
  <si>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</si>
  <si>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</si>
  <si>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</si>
  <si>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</si>
  <si>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</si>
  <si>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</si>
  <si>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</si>
  <si>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</si>
  <si>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</si>
  <si>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</si>
  <si>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</si>
  <si>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</si>
  <si>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</si>
  <si>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</si>
  <si>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</si>
  <si>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</si>
  <si>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</si>
  <si>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</si>
  <si>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</si>
  <si>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</si>
  <si>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</si>
  <si>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</si>
  <si>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</si>
  <si>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</si>
  <si>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</si>
  <si>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</si>
  <si>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</si>
  <si>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</si>
  <si>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</si>
  <si>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</si>
  <si>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</si>
  <si>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</si>
  <si>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</si>
  <si>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</si>
  <si>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</si>
  <si>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</si>
  <si>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</si>
  <si>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</si>
  <si>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</si>
  <si>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</si>
  <si>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</si>
  <si>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</si>
  <si>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</si>
  <si>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</si>
  <si>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</si>
  <si>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</si>
  <si>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</si>
  <si>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</si>
  <si>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</si>
  <si>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</si>
  <si>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</si>
  <si>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</si>
  <si>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</si>
  <si>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</si>
  <si>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</si>
  <si>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</si>
  <si>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</si>
  <si>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</si>
  <si>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</si>
  <si>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</si>
  <si>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</si>
  <si>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</si>
  <si>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</si>
  <si>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</si>
  <si>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</si>
  <si>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</si>
  <si>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</si>
  <si>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</si>
  <si>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</si>
  <si>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</si>
  <si>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</si>
  <si>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</si>
  <si>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</si>
  <si>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</si>
  <si>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</si>
  <si>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</si>
  <si>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</si>
  <si>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</si>
  <si>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</si>
  <si>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</si>
  <si>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</si>
  <si>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</si>
  <si>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</si>
  <si>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</si>
  <si>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</si>
  <si>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</si>
  <si>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</si>
  <si>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</si>
  <si>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</si>
  <si>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</si>
  <si>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</si>
  <si>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</si>
  <si>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</si>
  <si>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</si>
  <si>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</si>
  <si>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</si>
  <si>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</si>
  <si>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</si>
  <si>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</si>
  <si>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</si>
  <si>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</si>
  <si>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</si>
  <si>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</si>
  <si>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</si>
  <si>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</si>
  <si>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</si>
  <si>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</si>
  <si>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</si>
  <si>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</si>
  <si>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</si>
  <si>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</si>
  <si>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</si>
  <si>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</si>
  <si>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</si>
  <si>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</si>
  <si>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</si>
  <si>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</si>
  <si>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</si>
  <si>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</si>
  <si>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</si>
  <si>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</si>
  <si>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</si>
  <si>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</si>
  <si>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</si>
  <si>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</si>
  <si>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</si>
  <si>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</si>
  <si>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</si>
  <si>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</si>
  <si>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</si>
  <si>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</si>
  <si>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</si>
  <si>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</si>
  <si>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</si>
  <si>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</si>
  <si>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</si>
  <si>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</si>
  <si>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</si>
  <si>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</si>
  <si>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</si>
  <si>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</si>
  <si>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</si>
  <si>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</si>
  <si>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</si>
  <si>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</si>
  <si>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</si>
  <si>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</si>
  <si>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</si>
  <si>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</si>
  <si>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</si>
  <si>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</si>
  <si>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</si>
  <si>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</si>
  <si>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</si>
  <si>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</si>
  <si>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</si>
  <si>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</si>
  <si>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</si>
  <si>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</si>
  <si>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</si>
  <si>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</si>
  <si>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</si>
  <si>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</si>
  <si>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</si>
  <si>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</si>
  <si>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</si>
  <si>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</si>
  <si>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</si>
  <si>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</si>
  <si>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</si>
  <si>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</si>
  <si>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</si>
  <si>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</si>
  <si>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</si>
  <si>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</si>
  <si>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</si>
  <si>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</si>
  <si>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</si>
  <si>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</si>
  <si>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</si>
  <si>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</si>
  <si>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</si>
  <si>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</si>
  <si>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</si>
  <si>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</si>
  <si>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</si>
  <si>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</si>
  <si>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</si>
  <si>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</si>
  <si>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</si>
  <si>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</si>
  <si>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</si>
  <si>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</si>
  <si>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</si>
  <si>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</si>
  <si>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</si>
  <si>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</si>
  <si>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</si>
  <si>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</si>
  <si>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</si>
  <si>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</si>
  <si>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</si>
  <si>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</si>
  <si>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</si>
  <si>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</si>
  <si>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</si>
  <si>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</si>
  <si>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</si>
  <si>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</si>
  <si>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</si>
  <si>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</si>
  <si>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</si>
  <si>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</si>
  <si>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</si>
  <si>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</si>
  <si>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</si>
  <si>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</si>
  <si>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</si>
  <si>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</si>
  <si>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</si>
  <si>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</si>
  <si>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</si>
  <si>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</si>
  <si>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</si>
  <si>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</si>
  <si>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</si>
  <si>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</si>
  <si>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</si>
  <si>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</si>
  <si>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</si>
  <si>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</si>
  <si>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</si>
  <si>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</si>
  <si>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</si>
  <si>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</si>
  <si>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</si>
  <si>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</si>
  <si>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</si>
  <si>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</si>
  <si>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</si>
  <si>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</si>
  <si>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</si>
  <si>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</si>
  <si>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</si>
  <si>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</si>
  <si>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</si>
  <si>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</si>
  <si>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</si>
  <si>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</si>
  <si>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</si>
  <si>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</si>
  <si>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</si>
  <si>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</si>
  <si>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</si>
  <si>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</si>
  <si>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</si>
  <si>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</si>
  <si>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</si>
  <si>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</si>
  <si>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</si>
  <si>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</si>
  <si>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</si>
  <si>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</si>
  <si>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</si>
  <si>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</si>
  <si>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</si>
  <si>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</si>
  <si>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</si>
  <si>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</si>
  <si>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</si>
  <si>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</si>
  <si>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</si>
  <si>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</si>
  <si>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</si>
  <si>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</si>
  <si>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</si>
  <si>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</si>
  <si>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</si>
  <si>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</si>
  <si>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</si>
  <si>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</si>
  <si>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</si>
  <si>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</si>
  <si>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</si>
  <si>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</si>
  <si>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</si>
  <si>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</si>
  <si>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</si>
  <si>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</si>
  <si>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</si>
  <si>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</si>
  <si>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</si>
  <si>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</si>
  <si>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</si>
  <si>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</si>
  <si>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</si>
  <si>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</si>
  <si>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</si>
  <si>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</si>
  <si>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</si>
  <si>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</si>
  <si>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</si>
  <si>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</si>
  <si>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</si>
  <si>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</si>
  <si>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</si>
  <si>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</si>
  <si>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</si>
  <si>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</si>
  <si>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</si>
  <si>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</si>
  <si>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</si>
  <si>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</si>
  <si>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</si>
  <si>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</si>
  <si>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</si>
  <si>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</si>
  <si>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</si>
  <si>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</si>
  <si>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</si>
  <si>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</si>
  <si>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</si>
  <si>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</si>
  <si>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</si>
  <si>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</si>
  <si>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</si>
  <si>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</si>
  <si>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</si>
  <si>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</si>
  <si>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</si>
  <si>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</si>
  <si>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</si>
  <si>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</si>
  <si>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</si>
  <si>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</si>
  <si>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</si>
  <si>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</si>
  <si>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Baldai</t>
  </si>
  <si>
    <t>Biuro įranga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</si>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</sst>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69">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172" fontId="11" fillId="0" borderId="27" xfId="9" applyNumberFormat="1" applyFont="1" applyBorder="1" applyAlignment="1" applyProtection="1">
      <alignment horizontal="center" vertical="center"/>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xfId="3" builtinId="3"/>
    <cellStyle name="Comma 2" xfId="8" xr:uid="{00000000-0005-0000-0000-000008000000}"/>
    <cellStyle name="Normal" xfId="0" builtinId="0"/>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8" t="s">
        <v>0</v>
      </c>
      <c r="B1" s="1279"/>
      <c r="C1" s="1279"/>
      <c r="D1" s="1279"/>
      <c r="E1" s="1280"/>
    </row>
    <row r="2" spans="1:5" s="1" customFormat="1" x14ac:dyDescent="0.25">
      <c r="A2" s="1278" t="s">
        <v>1</v>
      </c>
      <c r="B2" s="1279"/>
      <c r="C2" s="1279"/>
      <c r="D2" s="1279"/>
      <c r="E2" s="1280"/>
    </row>
    <row r="3" spans="1:5" s="1" customFormat="1" x14ac:dyDescent="0.25">
      <c r="A3" s="1281"/>
      <c r="B3" s="1282"/>
      <c r="C3" s="1282"/>
      <c r="D3" s="1282"/>
      <c r="E3" s="1283"/>
    </row>
    <row r="4" spans="1:5" s="1" customFormat="1" x14ac:dyDescent="0.25">
      <c r="A4" s="7"/>
      <c r="B4" s="7"/>
      <c r="C4" s="7"/>
      <c r="D4" s="7"/>
      <c r="E4" s="7"/>
    </row>
    <row r="5" spans="1:5" s="1" customFormat="1" x14ac:dyDescent="0.25">
      <c r="A5" s="1284" t="s">
        <v>2</v>
      </c>
      <c r="B5" s="1285"/>
      <c r="C5" s="1285"/>
      <c r="D5" s="1285"/>
      <c r="E5" s="1286"/>
    </row>
    <row r="6" spans="1:5" s="1" customFormat="1" x14ac:dyDescent="0.25">
      <c r="A6" s="7"/>
      <c r="B6" s="7"/>
      <c r="C6" s="7"/>
      <c r="D6" s="7"/>
      <c r="E6" s="7"/>
    </row>
    <row r="8" spans="1:5" s="1" customFormat="1" ht="29.25" customHeight="1" thickBot="1" x14ac:dyDescent="0.3">
      <c r="C8" s="1277" t="s">
        <v>3</v>
      </c>
      <c r="D8" s="1277"/>
      <c r="E8" s="1277"/>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7F7PTu6CGLoBFSi3NE7LvzCG5oKSZAtGO6CQfJdmsyMwY0KqihO5KSJTTOHn1Q8v8vj/MaNBm5/yQF1R13rnuA==" saltValue="eyadNHX8MOLu0GTn1GqPMI7CTKIy9XXEeOWmzOFzhOJ9V5s8wiNkDQeMQO5uTVqgtXnpjpr39Ng8zOywHflvPQ==" spinCount="100000" sheet="1" objects="1" scenarios="1"/>
  <mergeCells count="5">
    <mergeCell ref="C8:E8"/>
    <mergeCell ref="A1:E1"/>
    <mergeCell ref="A2:E2"/>
    <mergeCell ref="A3:E3"/>
    <mergeCell ref="A5:E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topLeftCell="A76" zoomScale="90" zoomScaleNormal="90" workbookViewId="0">
      <selection activeCell="D77" sqref="D77"/>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8" t="s">
        <v>0</v>
      </c>
      <c r="B1" s="1279"/>
      <c r="C1" s="1279"/>
      <c r="D1" s="1279"/>
      <c r="E1" s="1279"/>
      <c r="F1" s="1279"/>
      <c r="G1" s="1279"/>
      <c r="H1" s="1279"/>
      <c r="I1" s="1279"/>
      <c r="J1" s="1279"/>
      <c r="K1" s="1279"/>
      <c r="L1" s="1279"/>
      <c r="M1" s="1279"/>
      <c r="N1" s="1279"/>
      <c r="O1" s="1279"/>
      <c r="P1" s="1280"/>
    </row>
    <row r="2" spans="1:17" s="1" customFormat="1" x14ac:dyDescent="0.25">
      <c r="A2" s="1278" t="s">
        <v>1</v>
      </c>
      <c r="B2" s="1279"/>
      <c r="C2" s="1279"/>
      <c r="D2" s="1279"/>
      <c r="E2" s="1279"/>
      <c r="F2" s="1279"/>
      <c r="G2" s="1279"/>
      <c r="H2" s="1279"/>
      <c r="I2" s="1279"/>
      <c r="J2" s="1279"/>
      <c r="K2" s="1279"/>
      <c r="L2" s="1279"/>
      <c r="M2" s="1279"/>
      <c r="N2" s="1279"/>
      <c r="O2" s="1279"/>
      <c r="P2" s="1280"/>
    </row>
    <row r="3" spans="1:17" s="1" customFormat="1" x14ac:dyDescent="0.25">
      <c r="A3" s="1281"/>
      <c r="B3" s="1282"/>
      <c r="C3" s="1282"/>
      <c r="D3" s="1282"/>
      <c r="E3" s="1282"/>
      <c r="F3" s="1282"/>
      <c r="G3" s="1282"/>
      <c r="H3" s="1282"/>
      <c r="I3" s="1282"/>
      <c r="J3" s="1282"/>
      <c r="K3" s="1282"/>
      <c r="L3" s="1282"/>
      <c r="M3" s="1282"/>
      <c r="N3" s="1282"/>
      <c r="O3" s="1282"/>
      <c r="P3" s="1283"/>
    </row>
    <row r="4" spans="1:17" s="1" customFormat="1" x14ac:dyDescent="0.25">
      <c r="A4" s="7"/>
      <c r="B4" s="7"/>
      <c r="C4" s="7"/>
      <c r="D4" s="7"/>
      <c r="E4" s="7"/>
      <c r="F4" s="7"/>
      <c r="G4" s="7"/>
      <c r="H4" s="7"/>
      <c r="I4" s="7"/>
      <c r="J4" s="7"/>
      <c r="K4" s="7"/>
      <c r="L4" s="7"/>
      <c r="M4" s="7"/>
      <c r="N4" s="7"/>
      <c r="O4" s="7"/>
      <c r="P4" s="7"/>
    </row>
    <row r="5" spans="1:17" s="1" customFormat="1" x14ac:dyDescent="0.25">
      <c r="A5" s="1284" t="s">
        <v>949</v>
      </c>
      <c r="B5" s="1285"/>
      <c r="C5" s="1285"/>
      <c r="D5" s="1285"/>
      <c r="E5" s="1285"/>
      <c r="F5" s="1285"/>
      <c r="G5" s="1285"/>
      <c r="H5" s="1285"/>
      <c r="I5" s="1285"/>
      <c r="J5" s="1285"/>
      <c r="K5" s="1285"/>
      <c r="L5" s="1285"/>
      <c r="M5" s="1285"/>
      <c r="N5" s="1285"/>
      <c r="O5" s="1285"/>
      <c r="P5" s="1286"/>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7" t="s">
        <v>950</v>
      </c>
      <c r="C8" s="1277"/>
      <c r="D8" s="1277"/>
      <c r="E8" s="1277"/>
      <c r="F8" s="1277"/>
      <c r="G8" s="1277"/>
      <c r="H8" s="1277"/>
      <c r="I8" s="1277"/>
      <c r="J8" s="1277"/>
      <c r="K8" s="1277"/>
      <c r="L8" s="1277"/>
      <c r="M8" s="1277"/>
      <c r="N8" s="1277"/>
      <c r="O8" s="1277"/>
      <c r="P8" s="1277"/>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3010.5274691498566</v>
      </c>
      <c r="E10" s="1042">
        <f t="shared" si="0"/>
        <v>30.123799999999999</v>
      </c>
      <c r="F10" s="1042">
        <f t="shared" si="0"/>
        <v>986.76966309366605</v>
      </c>
      <c r="G10" s="1043">
        <f t="shared" si="0"/>
        <v>86.446390209917581</v>
      </c>
      <c r="H10" s="1044">
        <f t="shared" si="0"/>
        <v>40.494883284003464</v>
      </c>
      <c r="I10" s="1045">
        <f t="shared" si="0"/>
        <v>859.82838959974492</v>
      </c>
      <c r="J10" s="1046">
        <f t="shared" si="0"/>
        <v>1992.4240060561904</v>
      </c>
      <c r="K10" s="1043">
        <f t="shared" si="0"/>
        <v>1425.625304494331</v>
      </c>
      <c r="L10" s="1044">
        <f t="shared" si="0"/>
        <v>543.16324089066973</v>
      </c>
      <c r="M10" s="1045">
        <f t="shared" si="0"/>
        <v>23.635460671189836</v>
      </c>
      <c r="N10" s="1047">
        <f t="shared" si="0"/>
        <v>0</v>
      </c>
      <c r="O10" s="1048">
        <f t="shared" si="0"/>
        <v>0</v>
      </c>
      <c r="P10" s="1042">
        <f t="shared" si="0"/>
        <v>1.21</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2796.2074691498565</v>
      </c>
      <c r="E15" s="1050">
        <f>SUM(E16:E19)</f>
        <v>0.13089999999999999</v>
      </c>
      <c r="F15" s="1050">
        <f t="shared" si="2"/>
        <v>930.52106309366604</v>
      </c>
      <c r="G15" s="147">
        <f>SUM(G16:G19)</f>
        <v>44.34769020991758</v>
      </c>
      <c r="H15" s="148">
        <f>SUM(H16:H19)</f>
        <v>40.211983284003466</v>
      </c>
      <c r="I15" s="149">
        <f>SUM(I16:I19)</f>
        <v>845.96138959974496</v>
      </c>
      <c r="J15" s="146">
        <f t="shared" si="3"/>
        <v>1865.5555060561906</v>
      </c>
      <c r="K15" s="147">
        <f t="shared" ref="K15:P15" si="7">SUM(K16:K19)</f>
        <v>1322.8093044943309</v>
      </c>
      <c r="L15" s="148">
        <f t="shared" si="7"/>
        <v>520.10364089066979</v>
      </c>
      <c r="M15" s="149">
        <f t="shared" si="7"/>
        <v>22.642560671189838</v>
      </c>
      <c r="N15" s="1051">
        <f t="shared" si="7"/>
        <v>0</v>
      </c>
      <c r="O15" s="145">
        <f t="shared" si="7"/>
        <v>0</v>
      </c>
      <c r="P15" s="1050">
        <f t="shared" si="7"/>
        <v>0</v>
      </c>
    </row>
    <row r="16" spans="1:17" s="1" customFormat="1" x14ac:dyDescent="0.25">
      <c r="B16" s="509" t="s">
        <v>104</v>
      </c>
      <c r="C16" s="510" t="s">
        <v>17</v>
      </c>
      <c r="D16" s="1049">
        <f t="shared" si="1"/>
        <v>224.06746914985661</v>
      </c>
      <c r="E16" s="1052">
        <f>SUM(E39,E62,E102)</f>
        <v>0.13089999999999999</v>
      </c>
      <c r="F16" s="1050">
        <f t="shared" si="2"/>
        <v>37.131063093666043</v>
      </c>
      <c r="G16" s="360">
        <f t="shared" ref="G16:I19" si="8">SUM(G39,G62,G102)</f>
        <v>27.607690209917582</v>
      </c>
      <c r="H16" s="361">
        <f t="shared" si="8"/>
        <v>4.4419832840034594</v>
      </c>
      <c r="I16" s="362">
        <f t="shared" si="8"/>
        <v>5.0813895997450027</v>
      </c>
      <c r="J16" s="146">
        <f t="shared" si="3"/>
        <v>186.80550605619055</v>
      </c>
      <c r="K16" s="360">
        <f t="shared" ref="K16:P19" si="9">SUM(K39,K62,K102)</f>
        <v>74.969304494330871</v>
      </c>
      <c r="L16" s="361">
        <f t="shared" si="9"/>
        <v>105.47364089066983</v>
      </c>
      <c r="M16" s="362">
        <f t="shared" si="9"/>
        <v>6.3625606711898355</v>
      </c>
      <c r="N16" s="1053">
        <f t="shared" si="9"/>
        <v>0</v>
      </c>
      <c r="O16" s="145">
        <f t="shared" si="9"/>
        <v>0</v>
      </c>
      <c r="P16" s="1050">
        <f t="shared" si="9"/>
        <v>0</v>
      </c>
    </row>
    <row r="17" spans="2:16" s="1" customFormat="1" x14ac:dyDescent="0.25">
      <c r="B17" s="509" t="s">
        <v>110</v>
      </c>
      <c r="C17" s="510" t="s">
        <v>597</v>
      </c>
      <c r="D17" s="1049">
        <f t="shared" si="1"/>
        <v>10.5</v>
      </c>
      <c r="E17" s="1052">
        <f>SUM(E40,E63,E103)</f>
        <v>0</v>
      </c>
      <c r="F17" s="1050">
        <f t="shared" si="2"/>
        <v>0</v>
      </c>
      <c r="G17" s="360">
        <f t="shared" si="8"/>
        <v>0</v>
      </c>
      <c r="H17" s="361">
        <f t="shared" si="8"/>
        <v>0</v>
      </c>
      <c r="I17" s="362">
        <f t="shared" si="8"/>
        <v>0</v>
      </c>
      <c r="J17" s="146">
        <f t="shared" si="3"/>
        <v>10.5</v>
      </c>
      <c r="K17" s="360">
        <f t="shared" si="9"/>
        <v>7.16</v>
      </c>
      <c r="L17" s="361">
        <f t="shared" si="9"/>
        <v>3.34</v>
      </c>
      <c r="M17" s="362">
        <f t="shared" si="9"/>
        <v>0</v>
      </c>
      <c r="N17" s="1053">
        <f t="shared" si="9"/>
        <v>0</v>
      </c>
      <c r="O17" s="145">
        <f t="shared" si="9"/>
        <v>0</v>
      </c>
      <c r="P17" s="1050">
        <f t="shared" si="9"/>
        <v>0</v>
      </c>
    </row>
    <row r="18" spans="2:16" s="1" customFormat="1" x14ac:dyDescent="0.25">
      <c r="B18" s="509" t="s">
        <v>117</v>
      </c>
      <c r="C18" s="510" t="s">
        <v>23</v>
      </c>
      <c r="D18" s="1049">
        <f t="shared" si="1"/>
        <v>1978.63</v>
      </c>
      <c r="E18" s="1052">
        <f>SUM(E41,E64,E104)</f>
        <v>0</v>
      </c>
      <c r="F18" s="1050">
        <f t="shared" si="2"/>
        <v>838.43</v>
      </c>
      <c r="G18" s="360">
        <f t="shared" si="8"/>
        <v>0</v>
      </c>
      <c r="H18" s="361">
        <f t="shared" si="8"/>
        <v>0</v>
      </c>
      <c r="I18" s="362">
        <f t="shared" si="8"/>
        <v>838.43</v>
      </c>
      <c r="J18" s="146">
        <f t="shared" si="3"/>
        <v>1140.2</v>
      </c>
      <c r="K18" s="360">
        <f t="shared" si="9"/>
        <v>1140.2</v>
      </c>
      <c r="L18" s="361">
        <f t="shared" si="9"/>
        <v>0</v>
      </c>
      <c r="M18" s="362">
        <f t="shared" si="9"/>
        <v>0</v>
      </c>
      <c r="N18" s="1053">
        <f t="shared" si="9"/>
        <v>0</v>
      </c>
      <c r="O18" s="145">
        <f t="shared" si="9"/>
        <v>0</v>
      </c>
      <c r="P18" s="1050">
        <f t="shared" si="9"/>
        <v>0</v>
      </c>
    </row>
    <row r="19" spans="2:16" s="1" customFormat="1" ht="38.25" x14ac:dyDescent="0.25">
      <c r="B19" s="509" t="s">
        <v>598</v>
      </c>
      <c r="C19" s="510" t="s">
        <v>599</v>
      </c>
      <c r="D19" s="1049">
        <f t="shared" si="1"/>
        <v>583.0100000000001</v>
      </c>
      <c r="E19" s="1052">
        <f>SUM(E42,E65,E105)</f>
        <v>0</v>
      </c>
      <c r="F19" s="1050">
        <f t="shared" si="2"/>
        <v>54.960000000000008</v>
      </c>
      <c r="G19" s="360">
        <f t="shared" si="8"/>
        <v>16.739999999999998</v>
      </c>
      <c r="H19" s="361">
        <f t="shared" si="8"/>
        <v>35.770000000000003</v>
      </c>
      <c r="I19" s="362">
        <f t="shared" si="8"/>
        <v>2.4500000000000002</v>
      </c>
      <c r="J19" s="146">
        <f t="shared" si="3"/>
        <v>528.05000000000007</v>
      </c>
      <c r="K19" s="360">
        <f t="shared" si="9"/>
        <v>100.48</v>
      </c>
      <c r="L19" s="361">
        <f t="shared" si="9"/>
        <v>411.29</v>
      </c>
      <c r="M19" s="362">
        <f t="shared" si="9"/>
        <v>16.28</v>
      </c>
      <c r="N19" s="1053">
        <f t="shared" si="9"/>
        <v>0</v>
      </c>
      <c r="O19" s="145">
        <f t="shared" si="9"/>
        <v>0</v>
      </c>
      <c r="P19" s="1050">
        <f t="shared" si="9"/>
        <v>0</v>
      </c>
    </row>
    <row r="20" spans="2:16" s="1" customFormat="1" x14ac:dyDescent="0.25">
      <c r="B20" s="499" t="s">
        <v>124</v>
      </c>
      <c r="C20" s="524" t="s">
        <v>27</v>
      </c>
      <c r="D20" s="1049">
        <f t="shared" si="1"/>
        <v>138.10999999999999</v>
      </c>
      <c r="E20" s="1050">
        <f>SUM(E21:E22)</f>
        <v>0.1229</v>
      </c>
      <c r="F20" s="1050">
        <f t="shared" si="2"/>
        <v>50.808599999999998</v>
      </c>
      <c r="G20" s="147">
        <f>SUM(G21:G22)</f>
        <v>41.618699999999997</v>
      </c>
      <c r="H20" s="148">
        <f>SUM(H21:H22)</f>
        <v>0.1229</v>
      </c>
      <c r="I20" s="149">
        <f>SUM(I21:I22)</f>
        <v>9.0670000000000002</v>
      </c>
      <c r="J20" s="146">
        <f t="shared" si="3"/>
        <v>87.178499999999985</v>
      </c>
      <c r="K20" s="147">
        <f t="shared" ref="K20:P20" si="10">SUM(K21:K22)</f>
        <v>68.055999999999997</v>
      </c>
      <c r="L20" s="148">
        <f t="shared" si="10"/>
        <v>18.2896</v>
      </c>
      <c r="M20" s="149">
        <f t="shared" si="10"/>
        <v>0.83289999999999997</v>
      </c>
      <c r="N20" s="1051">
        <f t="shared" si="10"/>
        <v>0</v>
      </c>
      <c r="O20" s="145">
        <f t="shared" si="10"/>
        <v>0</v>
      </c>
      <c r="P20" s="1050">
        <f t="shared" si="10"/>
        <v>0</v>
      </c>
    </row>
    <row r="21" spans="2:16" s="1" customFormat="1" ht="51.75" x14ac:dyDescent="0.25">
      <c r="B21" s="509" t="s">
        <v>126</v>
      </c>
      <c r="C21" s="525" t="s">
        <v>29</v>
      </c>
      <c r="D21" s="1049">
        <f t="shared" si="1"/>
        <v>130.79</v>
      </c>
      <c r="E21" s="1052">
        <f>SUM(E44,E67,E107)</f>
        <v>0.1229</v>
      </c>
      <c r="F21" s="1050">
        <f t="shared" si="2"/>
        <v>50.808599999999998</v>
      </c>
      <c r="G21" s="360">
        <f>SUM(G44,G67,G107)</f>
        <v>41.618699999999997</v>
      </c>
      <c r="H21" s="361">
        <f>SUM(H44,H67,H107)</f>
        <v>0.1229</v>
      </c>
      <c r="I21" s="362">
        <f>SUM(I44,I67,I107)</f>
        <v>9.0670000000000002</v>
      </c>
      <c r="J21" s="146">
        <f t="shared" si="3"/>
        <v>79.858499999999992</v>
      </c>
      <c r="K21" s="360">
        <f t="shared" ref="K21:P21" si="11">SUM(K44,K67,K107)</f>
        <v>61.395999999999994</v>
      </c>
      <c r="L21" s="361">
        <f t="shared" si="11"/>
        <v>17.6296</v>
      </c>
      <c r="M21" s="362">
        <f t="shared" si="11"/>
        <v>0.83289999999999997</v>
      </c>
      <c r="N21" s="1053">
        <f t="shared" si="11"/>
        <v>0</v>
      </c>
      <c r="O21" s="145">
        <f t="shared" si="11"/>
        <v>0</v>
      </c>
      <c r="P21" s="1050">
        <f t="shared" si="11"/>
        <v>0</v>
      </c>
    </row>
    <row r="22" spans="2:16" s="1" customFormat="1" x14ac:dyDescent="0.25">
      <c r="B22" s="509" t="s">
        <v>128</v>
      </c>
      <c r="C22" s="525" t="s">
        <v>31</v>
      </c>
      <c r="D22" s="1049">
        <f t="shared" si="1"/>
        <v>7.32</v>
      </c>
      <c r="E22" s="1052">
        <f>SUM(E45,E68)</f>
        <v>0</v>
      </c>
      <c r="F22" s="1050">
        <f t="shared" si="2"/>
        <v>0</v>
      </c>
      <c r="G22" s="360">
        <f>SUM(G45,G68)</f>
        <v>0</v>
      </c>
      <c r="H22" s="361">
        <f>SUM(H45,H68)</f>
        <v>0</v>
      </c>
      <c r="I22" s="362">
        <f>SUM(I45,I68)</f>
        <v>0</v>
      </c>
      <c r="J22" s="146">
        <f t="shared" si="3"/>
        <v>7.32</v>
      </c>
      <c r="K22" s="360">
        <f t="shared" ref="K22:P22" si="12">SUM(K45,K68)</f>
        <v>6.66</v>
      </c>
      <c r="L22" s="361">
        <f t="shared" si="12"/>
        <v>0.66</v>
      </c>
      <c r="M22" s="362">
        <f t="shared" si="12"/>
        <v>0</v>
      </c>
      <c r="N22" s="1053">
        <f t="shared" si="12"/>
        <v>0</v>
      </c>
      <c r="O22" s="145">
        <f t="shared" si="12"/>
        <v>0</v>
      </c>
      <c r="P22" s="1050">
        <f t="shared" si="12"/>
        <v>0</v>
      </c>
    </row>
    <row r="23" spans="2:16" s="1" customFormat="1" x14ac:dyDescent="0.25">
      <c r="B23" s="499" t="s">
        <v>131</v>
      </c>
      <c r="C23" s="524" t="s">
        <v>33</v>
      </c>
      <c r="D23" s="1049">
        <f t="shared" si="1"/>
        <v>31.78</v>
      </c>
      <c r="E23" s="1050">
        <f>SUM(E24:E25)</f>
        <v>28.117599999999999</v>
      </c>
      <c r="F23" s="1050">
        <f t="shared" si="2"/>
        <v>0.9383999999999999</v>
      </c>
      <c r="G23" s="147">
        <f>SUM(G24:G25)</f>
        <v>8.2799999999999999E-2</v>
      </c>
      <c r="H23" s="148">
        <f>SUM(H24:H25)</f>
        <v>2.76E-2</v>
      </c>
      <c r="I23" s="149">
        <f>SUM(I24:I25)</f>
        <v>0.82799999999999996</v>
      </c>
      <c r="J23" s="146">
        <f t="shared" si="3"/>
        <v>2.7239999999999998</v>
      </c>
      <c r="K23" s="147">
        <f t="shared" ref="K23:P23" si="13">SUM(K24:K25)</f>
        <v>1.1039999999999999</v>
      </c>
      <c r="L23" s="148">
        <f t="shared" si="13"/>
        <v>1.5924</v>
      </c>
      <c r="M23" s="149">
        <f t="shared" si="13"/>
        <v>2.76E-2</v>
      </c>
      <c r="N23" s="1051">
        <f t="shared" si="13"/>
        <v>0</v>
      </c>
      <c r="O23" s="145">
        <f t="shared" si="13"/>
        <v>0</v>
      </c>
      <c r="P23" s="1050">
        <f t="shared" si="13"/>
        <v>0</v>
      </c>
    </row>
    <row r="24" spans="2:16" s="1" customFormat="1" x14ac:dyDescent="0.25">
      <c r="B24" s="509" t="s">
        <v>133</v>
      </c>
      <c r="C24" s="525" t="s">
        <v>600</v>
      </c>
      <c r="D24" s="1049">
        <f t="shared" si="1"/>
        <v>28.53</v>
      </c>
      <c r="E24" s="1052">
        <f>SUM(E47,E70,E109)</f>
        <v>28.09</v>
      </c>
      <c r="F24" s="1054">
        <f t="shared" si="2"/>
        <v>0</v>
      </c>
      <c r="G24" s="1055">
        <f t="shared" ref="G24:I25" si="14">SUM(G47,G70,G109)</f>
        <v>0</v>
      </c>
      <c r="H24" s="1056">
        <f t="shared" si="14"/>
        <v>0</v>
      </c>
      <c r="I24" s="1057">
        <f t="shared" si="14"/>
        <v>0</v>
      </c>
      <c r="J24" s="142">
        <f t="shared" si="3"/>
        <v>0.44</v>
      </c>
      <c r="K24" s="1055">
        <f t="shared" ref="K24:P25" si="15">SUM(K47,K70,K109)</f>
        <v>0</v>
      </c>
      <c r="L24" s="1056">
        <f t="shared" si="15"/>
        <v>0.44</v>
      </c>
      <c r="M24" s="1057">
        <f t="shared" si="15"/>
        <v>0</v>
      </c>
      <c r="N24" s="1058">
        <f t="shared" si="15"/>
        <v>0</v>
      </c>
      <c r="O24" s="1059">
        <f t="shared" si="15"/>
        <v>0</v>
      </c>
      <c r="P24" s="1060">
        <f t="shared" si="15"/>
        <v>0</v>
      </c>
    </row>
    <row r="25" spans="2:16" s="1" customFormat="1" ht="26.25" x14ac:dyDescent="0.25">
      <c r="B25" s="509" t="s">
        <v>135</v>
      </c>
      <c r="C25" s="535" t="s">
        <v>601</v>
      </c>
      <c r="D25" s="1049">
        <f t="shared" si="1"/>
        <v>3.25</v>
      </c>
      <c r="E25" s="1052">
        <f>SUM(E48,E71,E110)</f>
        <v>2.76E-2</v>
      </c>
      <c r="F25" s="1054">
        <f t="shared" si="2"/>
        <v>0.9383999999999999</v>
      </c>
      <c r="G25" s="1055">
        <f t="shared" si="14"/>
        <v>8.2799999999999999E-2</v>
      </c>
      <c r="H25" s="1056">
        <f t="shared" si="14"/>
        <v>2.76E-2</v>
      </c>
      <c r="I25" s="1057">
        <f t="shared" si="14"/>
        <v>0.82799999999999996</v>
      </c>
      <c r="J25" s="142">
        <f t="shared" si="3"/>
        <v>2.2840000000000003</v>
      </c>
      <c r="K25" s="1055">
        <f t="shared" si="15"/>
        <v>1.1039999999999999</v>
      </c>
      <c r="L25" s="1056">
        <f t="shared" si="15"/>
        <v>1.1524000000000001</v>
      </c>
      <c r="M25" s="1057">
        <f t="shared" si="15"/>
        <v>2.76E-2</v>
      </c>
      <c r="N25" s="1058">
        <f t="shared" si="15"/>
        <v>0</v>
      </c>
      <c r="O25" s="1059">
        <f t="shared" si="15"/>
        <v>0</v>
      </c>
      <c r="P25" s="1060">
        <f t="shared" si="15"/>
        <v>0</v>
      </c>
    </row>
    <row r="26" spans="2:16" s="1" customFormat="1" x14ac:dyDescent="0.25">
      <c r="B26" s="499" t="s">
        <v>274</v>
      </c>
      <c r="C26" s="536" t="s">
        <v>39</v>
      </c>
      <c r="D26" s="1061">
        <f t="shared" si="1"/>
        <v>44.429999999999993</v>
      </c>
      <c r="E26" s="1062">
        <f>SUM(E27:E28)</f>
        <v>1.7524000000000002</v>
      </c>
      <c r="F26" s="1062">
        <f t="shared" si="2"/>
        <v>4.5015999999999998</v>
      </c>
      <c r="G26" s="1063">
        <f>SUM(G27:G28)</f>
        <v>0.3972</v>
      </c>
      <c r="H26" s="1064">
        <f>SUM(H27:H28)</f>
        <v>0.13239999999999999</v>
      </c>
      <c r="I26" s="1065">
        <f>SUM(I27:I28)</f>
        <v>3.972</v>
      </c>
      <c r="J26" s="1066">
        <f t="shared" si="3"/>
        <v>36.965999999999994</v>
      </c>
      <c r="K26" s="1063">
        <f t="shared" ref="K26:P26" si="16">SUM(K27:K28)</f>
        <v>33.655999999999999</v>
      </c>
      <c r="L26" s="1064">
        <f t="shared" si="16"/>
        <v>3.1776</v>
      </c>
      <c r="M26" s="1065">
        <f t="shared" si="16"/>
        <v>0.13239999999999999</v>
      </c>
      <c r="N26" s="1067">
        <f t="shared" si="16"/>
        <v>0</v>
      </c>
      <c r="O26" s="1068">
        <f t="shared" si="16"/>
        <v>0</v>
      </c>
      <c r="P26" s="1062">
        <f t="shared" si="16"/>
        <v>1.21</v>
      </c>
    </row>
    <row r="27" spans="2:16" s="1" customFormat="1" x14ac:dyDescent="0.25">
      <c r="B27" s="1069" t="s">
        <v>276</v>
      </c>
      <c r="C27" s="545" t="s">
        <v>41</v>
      </c>
      <c r="D27" s="1070">
        <f t="shared" si="1"/>
        <v>6.82</v>
      </c>
      <c r="E27" s="1052">
        <f>SUM(E50,E73,E112)</f>
        <v>1.6720000000000002</v>
      </c>
      <c r="F27" s="1071">
        <f t="shared" si="2"/>
        <v>1.768</v>
      </c>
      <c r="G27" s="1072">
        <f t="shared" ref="G27:I28" si="17">SUM(G50,G73,G112)</f>
        <v>0.15600000000000003</v>
      </c>
      <c r="H27" s="1073">
        <f t="shared" si="17"/>
        <v>5.2000000000000005E-2</v>
      </c>
      <c r="I27" s="1074">
        <f t="shared" si="17"/>
        <v>1.56</v>
      </c>
      <c r="J27" s="293">
        <f t="shared" si="3"/>
        <v>3.3800000000000003</v>
      </c>
      <c r="K27" s="1072">
        <f t="shared" ref="K27:P28" si="18">SUM(K50,K73,K112)</f>
        <v>2.08</v>
      </c>
      <c r="L27" s="1073">
        <f t="shared" si="18"/>
        <v>1.2480000000000002</v>
      </c>
      <c r="M27" s="1074">
        <f t="shared" si="18"/>
        <v>5.2000000000000005E-2</v>
      </c>
      <c r="N27" s="1075">
        <f t="shared" si="18"/>
        <v>0</v>
      </c>
      <c r="O27" s="1076">
        <f t="shared" si="18"/>
        <v>0</v>
      </c>
      <c r="P27" s="1077">
        <f t="shared" si="18"/>
        <v>0</v>
      </c>
    </row>
    <row r="28" spans="2:16" s="1" customFormat="1" ht="26.25" x14ac:dyDescent="0.25">
      <c r="B28" s="1069" t="s">
        <v>278</v>
      </c>
      <c r="C28" s="552" t="s">
        <v>43</v>
      </c>
      <c r="D28" s="1061">
        <f t="shared" si="1"/>
        <v>37.61</v>
      </c>
      <c r="E28" s="1052">
        <f>SUM(E51,E74,E113)</f>
        <v>8.0399999999999985E-2</v>
      </c>
      <c r="F28" s="1062">
        <f t="shared" si="2"/>
        <v>2.7336</v>
      </c>
      <c r="G28" s="409">
        <f t="shared" si="17"/>
        <v>0.24119999999999997</v>
      </c>
      <c r="H28" s="410">
        <f t="shared" si="17"/>
        <v>8.0399999999999985E-2</v>
      </c>
      <c r="I28" s="411">
        <f t="shared" si="17"/>
        <v>2.4119999999999999</v>
      </c>
      <c r="J28" s="1066">
        <f t="shared" si="3"/>
        <v>33.585999999999999</v>
      </c>
      <c r="K28" s="409">
        <f t="shared" si="18"/>
        <v>31.576000000000001</v>
      </c>
      <c r="L28" s="410">
        <f t="shared" si="18"/>
        <v>1.9295999999999998</v>
      </c>
      <c r="M28" s="411">
        <f t="shared" si="18"/>
        <v>8.0399999999999985E-2</v>
      </c>
      <c r="N28" s="1078">
        <f t="shared" si="18"/>
        <v>0</v>
      </c>
      <c r="O28" s="413">
        <f t="shared" si="18"/>
        <v>0</v>
      </c>
      <c r="P28" s="1079">
        <f t="shared" si="18"/>
        <v>1.21</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2964.6900000000005</v>
      </c>
      <c r="E33" s="1042">
        <f t="shared" ref="E33:P33" si="22">E34+E38+E43+E46+E49+E52</f>
        <v>29.71</v>
      </c>
      <c r="F33" s="1042">
        <f t="shared" si="22"/>
        <v>972.01</v>
      </c>
      <c r="G33" s="1043">
        <f t="shared" si="22"/>
        <v>84.63</v>
      </c>
      <c r="H33" s="1044">
        <f t="shared" si="22"/>
        <v>39.99</v>
      </c>
      <c r="I33" s="1045">
        <f t="shared" si="22"/>
        <v>847.39</v>
      </c>
      <c r="J33" s="1046">
        <f t="shared" si="22"/>
        <v>1961.7600000000002</v>
      </c>
      <c r="K33" s="1043">
        <f t="shared" si="22"/>
        <v>1407.6000000000001</v>
      </c>
      <c r="L33" s="1044">
        <f t="shared" si="22"/>
        <v>531.07000000000005</v>
      </c>
      <c r="M33" s="1045">
        <f t="shared" si="22"/>
        <v>23.090000000000003</v>
      </c>
      <c r="N33" s="1047">
        <f t="shared" si="22"/>
        <v>0</v>
      </c>
      <c r="O33" s="1048">
        <f t="shared" si="22"/>
        <v>0</v>
      </c>
      <c r="P33" s="1042">
        <f t="shared" si="22"/>
        <v>1.21</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2778.6600000000003</v>
      </c>
      <c r="E38" s="1050">
        <f>SUM(E39:E42)</f>
        <v>0</v>
      </c>
      <c r="F38" s="1050">
        <f t="shared" si="23"/>
        <v>925.38</v>
      </c>
      <c r="G38" s="147">
        <f>SUM(G39:G42)</f>
        <v>43.379999999999995</v>
      </c>
      <c r="H38" s="148">
        <f>SUM(H39:H42)</f>
        <v>39.99</v>
      </c>
      <c r="I38" s="149">
        <f>SUM(I39:I42)</f>
        <v>842.01</v>
      </c>
      <c r="J38" s="146">
        <f t="shared" si="24"/>
        <v>1853.2800000000002</v>
      </c>
      <c r="K38" s="147">
        <f t="shared" ref="K38:P38" si="26">SUM(K39:K42)</f>
        <v>1316.1000000000001</v>
      </c>
      <c r="L38" s="148">
        <f t="shared" si="26"/>
        <v>514.80000000000007</v>
      </c>
      <c r="M38" s="149">
        <f t="shared" si="26"/>
        <v>22.380000000000003</v>
      </c>
      <c r="N38" s="1051">
        <f t="shared" si="26"/>
        <v>0</v>
      </c>
      <c r="O38" s="145">
        <f t="shared" si="26"/>
        <v>0</v>
      </c>
      <c r="P38" s="1050">
        <f t="shared" si="26"/>
        <v>0</v>
      </c>
    </row>
    <row r="39" spans="2:16" s="1" customFormat="1" x14ac:dyDescent="0.25">
      <c r="B39" s="509" t="s">
        <v>143</v>
      </c>
      <c r="C39" s="510" t="s">
        <v>17</v>
      </c>
      <c r="D39" s="1049">
        <f t="shared" si="1"/>
        <v>206.52</v>
      </c>
      <c r="E39" s="1093">
        <v>0</v>
      </c>
      <c r="F39" s="1050">
        <f t="shared" si="23"/>
        <v>31.99</v>
      </c>
      <c r="G39" s="309">
        <v>26.64</v>
      </c>
      <c r="H39" s="310">
        <v>4.22</v>
      </c>
      <c r="I39" s="311">
        <v>1.1299999999999999</v>
      </c>
      <c r="J39" s="146">
        <f t="shared" si="24"/>
        <v>174.53</v>
      </c>
      <c r="K39" s="309">
        <v>68.260000000000005</v>
      </c>
      <c r="L39" s="310">
        <v>100.17</v>
      </c>
      <c r="M39" s="311">
        <v>6.1</v>
      </c>
      <c r="N39" s="572">
        <v>0</v>
      </c>
      <c r="O39" s="1094">
        <v>0</v>
      </c>
      <c r="P39" s="1095">
        <v>0</v>
      </c>
    </row>
    <row r="40" spans="2:16" s="1" customFormat="1" x14ac:dyDescent="0.25">
      <c r="B40" s="509" t="s">
        <v>145</v>
      </c>
      <c r="C40" s="510" t="s">
        <v>597</v>
      </c>
      <c r="D40" s="1049">
        <f t="shared" si="1"/>
        <v>10.5</v>
      </c>
      <c r="E40" s="1093">
        <v>0</v>
      </c>
      <c r="F40" s="1050">
        <f t="shared" si="23"/>
        <v>0</v>
      </c>
      <c r="G40" s="309">
        <v>0</v>
      </c>
      <c r="H40" s="310">
        <v>0</v>
      </c>
      <c r="I40" s="311">
        <v>0</v>
      </c>
      <c r="J40" s="146">
        <f t="shared" si="24"/>
        <v>10.5</v>
      </c>
      <c r="K40" s="309">
        <v>7.16</v>
      </c>
      <c r="L40" s="310">
        <v>3.34</v>
      </c>
      <c r="M40" s="311">
        <v>0</v>
      </c>
      <c r="N40" s="572">
        <v>0</v>
      </c>
      <c r="O40" s="1094">
        <v>0</v>
      </c>
      <c r="P40" s="1095">
        <v>0</v>
      </c>
    </row>
    <row r="41" spans="2:16" s="1" customFormat="1" x14ac:dyDescent="0.25">
      <c r="B41" s="509" t="s">
        <v>608</v>
      </c>
      <c r="C41" s="510" t="s">
        <v>23</v>
      </c>
      <c r="D41" s="1049">
        <f t="shared" si="1"/>
        <v>1978.63</v>
      </c>
      <c r="E41" s="1093">
        <v>0</v>
      </c>
      <c r="F41" s="1050">
        <f t="shared" si="23"/>
        <v>838.43</v>
      </c>
      <c r="G41" s="309">
        <v>0</v>
      </c>
      <c r="H41" s="310">
        <v>0</v>
      </c>
      <c r="I41" s="311">
        <v>838.43</v>
      </c>
      <c r="J41" s="146">
        <f t="shared" si="24"/>
        <v>1140.2</v>
      </c>
      <c r="K41" s="309">
        <v>1140.2</v>
      </c>
      <c r="L41" s="310">
        <v>0</v>
      </c>
      <c r="M41" s="311">
        <v>0</v>
      </c>
      <c r="N41" s="572">
        <v>0</v>
      </c>
      <c r="O41" s="1094">
        <v>0</v>
      </c>
      <c r="P41" s="1095">
        <v>0</v>
      </c>
    </row>
    <row r="42" spans="2:16" s="1" customFormat="1" ht="38.25" x14ac:dyDescent="0.25">
      <c r="B42" s="509" t="s">
        <v>609</v>
      </c>
      <c r="C42" s="510" t="s">
        <v>599</v>
      </c>
      <c r="D42" s="1049">
        <f t="shared" si="1"/>
        <v>583.0100000000001</v>
      </c>
      <c r="E42" s="1093">
        <v>0</v>
      </c>
      <c r="F42" s="1050">
        <f t="shared" si="23"/>
        <v>54.960000000000008</v>
      </c>
      <c r="G42" s="309">
        <v>16.739999999999998</v>
      </c>
      <c r="H42" s="310">
        <v>35.770000000000003</v>
      </c>
      <c r="I42" s="311">
        <v>2.4500000000000002</v>
      </c>
      <c r="J42" s="146">
        <f t="shared" si="24"/>
        <v>528.05000000000007</v>
      </c>
      <c r="K42" s="309">
        <v>100.48</v>
      </c>
      <c r="L42" s="310">
        <v>411.29</v>
      </c>
      <c r="M42" s="311">
        <v>16.28</v>
      </c>
      <c r="N42" s="572">
        <v>0</v>
      </c>
      <c r="O42" s="1094">
        <v>0</v>
      </c>
      <c r="P42" s="1095">
        <v>0</v>
      </c>
    </row>
    <row r="43" spans="2:16" s="1" customFormat="1" x14ac:dyDescent="0.25">
      <c r="B43" s="499" t="s">
        <v>302</v>
      </c>
      <c r="C43" s="524" t="s">
        <v>27</v>
      </c>
      <c r="D43" s="1049">
        <f t="shared" si="1"/>
        <v>125.82</v>
      </c>
      <c r="E43" s="1050">
        <f>SUM(E44:E45)</f>
        <v>0</v>
      </c>
      <c r="F43" s="1050">
        <f t="shared" si="23"/>
        <v>46.63</v>
      </c>
      <c r="G43" s="147">
        <f>SUM(G44:G45)</f>
        <v>41.25</v>
      </c>
      <c r="H43" s="148">
        <f>SUM(H44:H45)</f>
        <v>0</v>
      </c>
      <c r="I43" s="149">
        <f>SUM(I44:I45)</f>
        <v>5.38</v>
      </c>
      <c r="J43" s="146">
        <f t="shared" si="24"/>
        <v>79.19</v>
      </c>
      <c r="K43" s="147">
        <f t="shared" ref="K43:P43" si="27">SUM(K44:K45)</f>
        <v>63.14</v>
      </c>
      <c r="L43" s="148">
        <f t="shared" si="27"/>
        <v>15.34</v>
      </c>
      <c r="M43" s="149">
        <f t="shared" si="27"/>
        <v>0.71</v>
      </c>
      <c r="N43" s="1051">
        <f t="shared" si="27"/>
        <v>0</v>
      </c>
      <c r="O43" s="145">
        <f t="shared" si="27"/>
        <v>0</v>
      </c>
      <c r="P43" s="1050">
        <f t="shared" si="27"/>
        <v>0</v>
      </c>
    </row>
    <row r="44" spans="2:16" s="1" customFormat="1" ht="51.75" x14ac:dyDescent="0.25">
      <c r="B44" s="509" t="s">
        <v>304</v>
      </c>
      <c r="C44" s="525" t="s">
        <v>29</v>
      </c>
      <c r="D44" s="1049">
        <f t="shared" si="1"/>
        <v>118.5</v>
      </c>
      <c r="E44" s="1093">
        <v>0</v>
      </c>
      <c r="F44" s="1050">
        <f t="shared" si="23"/>
        <v>46.63</v>
      </c>
      <c r="G44" s="309">
        <v>41.25</v>
      </c>
      <c r="H44" s="310">
        <v>0</v>
      </c>
      <c r="I44" s="311">
        <v>5.38</v>
      </c>
      <c r="J44" s="146">
        <f t="shared" si="24"/>
        <v>71.86999999999999</v>
      </c>
      <c r="K44" s="309">
        <v>56.48</v>
      </c>
      <c r="L44" s="310">
        <v>14.68</v>
      </c>
      <c r="M44" s="311">
        <v>0.71</v>
      </c>
      <c r="N44" s="572">
        <v>0</v>
      </c>
      <c r="O44" s="1094">
        <v>0</v>
      </c>
      <c r="P44" s="1095">
        <v>0</v>
      </c>
    </row>
    <row r="45" spans="2:16" s="1" customFormat="1" x14ac:dyDescent="0.25">
      <c r="B45" s="509" t="s">
        <v>305</v>
      </c>
      <c r="C45" s="525" t="s">
        <v>31</v>
      </c>
      <c r="D45" s="1049">
        <f t="shared" si="1"/>
        <v>7.32</v>
      </c>
      <c r="E45" s="1093">
        <v>0</v>
      </c>
      <c r="F45" s="1050">
        <f t="shared" si="23"/>
        <v>0</v>
      </c>
      <c r="G45" s="309">
        <v>0</v>
      </c>
      <c r="H45" s="310">
        <v>0</v>
      </c>
      <c r="I45" s="311">
        <v>0</v>
      </c>
      <c r="J45" s="146">
        <f t="shared" si="24"/>
        <v>7.32</v>
      </c>
      <c r="K45" s="309">
        <v>6.66</v>
      </c>
      <c r="L45" s="310">
        <v>0.66</v>
      </c>
      <c r="M45" s="311">
        <v>0</v>
      </c>
      <c r="N45" s="572">
        <v>0</v>
      </c>
      <c r="O45" s="1094">
        <v>0</v>
      </c>
      <c r="P45" s="1095">
        <v>0</v>
      </c>
    </row>
    <row r="46" spans="2:16" s="1" customFormat="1" x14ac:dyDescent="0.25">
      <c r="B46" s="499" t="s">
        <v>307</v>
      </c>
      <c r="C46" s="524" t="s">
        <v>33</v>
      </c>
      <c r="D46" s="1049">
        <f t="shared" si="1"/>
        <v>29.02</v>
      </c>
      <c r="E46" s="1050">
        <f>SUM(E47:E48)</f>
        <v>28.09</v>
      </c>
      <c r="F46" s="1050">
        <f t="shared" si="23"/>
        <v>0</v>
      </c>
      <c r="G46" s="147">
        <f>SUM(G47:G48)</f>
        <v>0</v>
      </c>
      <c r="H46" s="148">
        <f>SUM(H47:H48)</f>
        <v>0</v>
      </c>
      <c r="I46" s="149">
        <f>SUM(I47:I48)</f>
        <v>0</v>
      </c>
      <c r="J46" s="146">
        <f t="shared" si="24"/>
        <v>0.92999999999999994</v>
      </c>
      <c r="K46" s="147">
        <f t="shared" ref="K46:P46" si="28">SUM(K47:K48)</f>
        <v>0</v>
      </c>
      <c r="L46" s="148">
        <f t="shared" si="28"/>
        <v>0.92999999999999994</v>
      </c>
      <c r="M46" s="149">
        <f t="shared" si="28"/>
        <v>0</v>
      </c>
      <c r="N46" s="1051">
        <f t="shared" si="28"/>
        <v>0</v>
      </c>
      <c r="O46" s="145">
        <f t="shared" si="28"/>
        <v>0</v>
      </c>
      <c r="P46" s="1050">
        <f t="shared" si="28"/>
        <v>0</v>
      </c>
    </row>
    <row r="47" spans="2:16" s="1" customFormat="1" x14ac:dyDescent="0.25">
      <c r="B47" s="509" t="s">
        <v>308</v>
      </c>
      <c r="C47" s="525" t="s">
        <v>600</v>
      </c>
      <c r="D47" s="1049">
        <f t="shared" si="1"/>
        <v>28.53</v>
      </c>
      <c r="E47" s="1093">
        <v>28.09</v>
      </c>
      <c r="F47" s="1050">
        <f t="shared" si="23"/>
        <v>0</v>
      </c>
      <c r="G47" s="309">
        <v>0</v>
      </c>
      <c r="H47" s="310">
        <v>0</v>
      </c>
      <c r="I47" s="311">
        <v>0</v>
      </c>
      <c r="J47" s="146">
        <f t="shared" si="24"/>
        <v>0.44</v>
      </c>
      <c r="K47" s="309">
        <v>0</v>
      </c>
      <c r="L47" s="310">
        <v>0.44</v>
      </c>
      <c r="M47" s="311">
        <v>0</v>
      </c>
      <c r="N47" s="572">
        <v>0</v>
      </c>
      <c r="O47" s="1094">
        <v>0</v>
      </c>
      <c r="P47" s="1095">
        <v>0</v>
      </c>
    </row>
    <row r="48" spans="2:16" s="1" customFormat="1" ht="26.25" x14ac:dyDescent="0.25">
      <c r="B48" s="509" t="s">
        <v>308</v>
      </c>
      <c r="C48" s="581" t="s">
        <v>601</v>
      </c>
      <c r="D48" s="1049">
        <f t="shared" si="1"/>
        <v>0.49</v>
      </c>
      <c r="E48" s="1093">
        <v>0</v>
      </c>
      <c r="F48" s="1050">
        <f t="shared" si="23"/>
        <v>0</v>
      </c>
      <c r="G48" s="309">
        <v>0</v>
      </c>
      <c r="H48" s="310">
        <v>0</v>
      </c>
      <c r="I48" s="311">
        <v>0</v>
      </c>
      <c r="J48" s="146">
        <f t="shared" si="24"/>
        <v>0.49</v>
      </c>
      <c r="K48" s="309">
        <v>0</v>
      </c>
      <c r="L48" s="310">
        <v>0.49</v>
      </c>
      <c r="M48" s="311">
        <v>0</v>
      </c>
      <c r="N48" s="572">
        <v>0</v>
      </c>
      <c r="O48" s="1094">
        <v>0</v>
      </c>
      <c r="P48" s="1095">
        <v>0</v>
      </c>
    </row>
    <row r="49" spans="2:17" s="1" customFormat="1" x14ac:dyDescent="0.25">
      <c r="B49" s="499" t="s">
        <v>312</v>
      </c>
      <c r="C49" s="536" t="s">
        <v>39</v>
      </c>
      <c r="D49" s="1061">
        <f t="shared" si="1"/>
        <v>31.19</v>
      </c>
      <c r="E49" s="1062">
        <f>SUM(E50:E51)</f>
        <v>1.62</v>
      </c>
      <c r="F49" s="1062">
        <f t="shared" si="23"/>
        <v>0</v>
      </c>
      <c r="G49" s="1063">
        <f>SUM(G50:G51)</f>
        <v>0</v>
      </c>
      <c r="H49" s="1064">
        <f>SUM(H50:H51)</f>
        <v>0</v>
      </c>
      <c r="I49" s="1065">
        <f>SUM(I50:I51)</f>
        <v>0</v>
      </c>
      <c r="J49" s="1066">
        <f t="shared" si="24"/>
        <v>28.36</v>
      </c>
      <c r="K49" s="1063">
        <f t="shared" ref="K49:P49" si="29">SUM(K50:K51)</f>
        <v>28.36</v>
      </c>
      <c r="L49" s="1064">
        <f t="shared" si="29"/>
        <v>0</v>
      </c>
      <c r="M49" s="1065">
        <f t="shared" si="29"/>
        <v>0</v>
      </c>
      <c r="N49" s="1067">
        <f t="shared" si="29"/>
        <v>0</v>
      </c>
      <c r="O49" s="1068">
        <f t="shared" si="29"/>
        <v>0</v>
      </c>
      <c r="P49" s="1062">
        <f t="shared" si="29"/>
        <v>1.21</v>
      </c>
    </row>
    <row r="50" spans="2:17" s="1" customFormat="1" x14ac:dyDescent="0.25">
      <c r="B50" s="1069" t="s">
        <v>314</v>
      </c>
      <c r="C50" s="545" t="s">
        <v>41</v>
      </c>
      <c r="D50" s="1070">
        <f t="shared" si="1"/>
        <v>1.62</v>
      </c>
      <c r="E50" s="1093">
        <v>1.62</v>
      </c>
      <c r="F50" s="1050">
        <f t="shared" si="23"/>
        <v>0</v>
      </c>
      <c r="G50" s="309">
        <v>0</v>
      </c>
      <c r="H50" s="310">
        <v>0</v>
      </c>
      <c r="I50" s="311">
        <v>0</v>
      </c>
      <c r="J50" s="1066">
        <f t="shared" si="24"/>
        <v>0</v>
      </c>
      <c r="K50" s="309">
        <v>0</v>
      </c>
      <c r="L50" s="310">
        <v>0</v>
      </c>
      <c r="M50" s="311">
        <v>0</v>
      </c>
      <c r="N50" s="572">
        <v>0</v>
      </c>
      <c r="O50" s="1094">
        <v>0</v>
      </c>
      <c r="P50" s="1095">
        <v>0</v>
      </c>
    </row>
    <row r="51" spans="2:17" s="1" customFormat="1" ht="26.25" x14ac:dyDescent="0.25">
      <c r="B51" s="1069" t="s">
        <v>316</v>
      </c>
      <c r="C51" s="552" t="s">
        <v>43</v>
      </c>
      <c r="D51" s="1061">
        <f t="shared" si="1"/>
        <v>29.57</v>
      </c>
      <c r="E51" s="1093">
        <v>0</v>
      </c>
      <c r="F51" s="1050">
        <f t="shared" si="23"/>
        <v>0</v>
      </c>
      <c r="G51" s="309">
        <v>0</v>
      </c>
      <c r="H51" s="310">
        <v>0</v>
      </c>
      <c r="I51" s="311">
        <v>0</v>
      </c>
      <c r="J51" s="1066">
        <f t="shared" si="24"/>
        <v>28.36</v>
      </c>
      <c r="K51" s="309">
        <v>28.36</v>
      </c>
      <c r="L51" s="310">
        <v>0</v>
      </c>
      <c r="M51" s="311">
        <v>0</v>
      </c>
      <c r="N51" s="572">
        <v>0</v>
      </c>
      <c r="O51" s="1094">
        <v>0</v>
      </c>
      <c r="P51" s="1095">
        <v>1.21</v>
      </c>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v>0</v>
      </c>
      <c r="F53" s="1050">
        <f t="shared" si="23"/>
        <v>0</v>
      </c>
      <c r="G53" s="309">
        <v>0</v>
      </c>
      <c r="H53" s="310">
        <v>0</v>
      </c>
      <c r="I53" s="311">
        <v>0</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c r="M55" s="1100">
        <v>0</v>
      </c>
      <c r="N55" s="1101">
        <v>0</v>
      </c>
      <c r="O55" s="1102">
        <v>0</v>
      </c>
      <c r="P55" s="1103">
        <v>0</v>
      </c>
    </row>
    <row r="56" spans="2:17" s="1" customFormat="1" ht="16.5" thickTop="1" thickBot="1" x14ac:dyDescent="0.3">
      <c r="B56" s="489" t="s">
        <v>59</v>
      </c>
      <c r="C56" s="489" t="s">
        <v>612</v>
      </c>
      <c r="D56" s="1041">
        <f t="shared" ref="D56:P56" si="31">D57+D61+D66+D69+D72+D75</f>
        <v>41.379999999999995</v>
      </c>
      <c r="E56" s="1042">
        <f t="shared" si="31"/>
        <v>0.41379999999999995</v>
      </c>
      <c r="F56" s="1042">
        <f t="shared" si="31"/>
        <v>14.069199999999999</v>
      </c>
      <c r="G56" s="1043">
        <f t="shared" si="31"/>
        <v>1.2413999999999998</v>
      </c>
      <c r="H56" s="1044">
        <f t="shared" si="31"/>
        <v>0.41379999999999995</v>
      </c>
      <c r="I56" s="1045">
        <f t="shared" si="31"/>
        <v>12.414</v>
      </c>
      <c r="J56" s="1046">
        <f t="shared" si="31"/>
        <v>26.896999999999998</v>
      </c>
      <c r="K56" s="1043">
        <f t="shared" si="31"/>
        <v>16.552</v>
      </c>
      <c r="L56" s="1044">
        <f t="shared" si="31"/>
        <v>9.9311999999999987</v>
      </c>
      <c r="M56" s="1045">
        <f t="shared" si="31"/>
        <v>0.41379999999999995</v>
      </c>
      <c r="N56" s="1047">
        <f t="shared" si="31"/>
        <v>0</v>
      </c>
      <c r="O56" s="1048">
        <f t="shared" si="31"/>
        <v>0</v>
      </c>
      <c r="P56" s="1042">
        <f t="shared" si="31"/>
        <v>0</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13.09</v>
      </c>
      <c r="E61" s="1050">
        <f>SUM(E62:E65)</f>
        <v>0.13089999999999999</v>
      </c>
      <c r="F61" s="1050">
        <f t="shared" si="32"/>
        <v>4.4505999999999997</v>
      </c>
      <c r="G61" s="147">
        <f>SUM(G62:G65)</f>
        <v>0.39269999999999994</v>
      </c>
      <c r="H61" s="148">
        <f>SUM(H62:H65)</f>
        <v>0.13089999999999999</v>
      </c>
      <c r="I61" s="149">
        <f>SUM(I62:I65)</f>
        <v>3.927</v>
      </c>
      <c r="J61" s="146">
        <f t="shared" si="33"/>
        <v>8.5085000000000015</v>
      </c>
      <c r="K61" s="147">
        <f t="shared" ref="K61:P61" si="37">SUM(K62:K65)</f>
        <v>5.2360000000000007</v>
      </c>
      <c r="L61" s="148">
        <f t="shared" si="37"/>
        <v>3.1415999999999995</v>
      </c>
      <c r="M61" s="149">
        <f t="shared" si="37"/>
        <v>0.13089999999999999</v>
      </c>
      <c r="N61" s="1051">
        <f t="shared" si="37"/>
        <v>0</v>
      </c>
      <c r="O61" s="145">
        <f t="shared" si="37"/>
        <v>0</v>
      </c>
      <c r="P61" s="1050">
        <f t="shared" si="37"/>
        <v>0</v>
      </c>
    </row>
    <row r="62" spans="2:17" s="1" customFormat="1" x14ac:dyDescent="0.25">
      <c r="B62" s="509" t="s">
        <v>154</v>
      </c>
      <c r="C62" s="510" t="s">
        <v>17</v>
      </c>
      <c r="D62" s="603">
        <v>13.09</v>
      </c>
      <c r="E62" s="1052">
        <f>IFERROR($D62*E83/100, 0)</f>
        <v>0.13089999999999999</v>
      </c>
      <c r="F62" s="1052">
        <f t="shared" si="32"/>
        <v>4.4505999999999997</v>
      </c>
      <c r="G62" s="360">
        <f t="shared" ref="G62:I65" si="38">IFERROR($D62*G83/100, 0)</f>
        <v>0.39269999999999994</v>
      </c>
      <c r="H62" s="361">
        <f t="shared" si="38"/>
        <v>0.13089999999999999</v>
      </c>
      <c r="I62" s="362">
        <f t="shared" si="38"/>
        <v>3.927</v>
      </c>
      <c r="J62" s="308">
        <f t="shared" si="33"/>
        <v>8.5085000000000015</v>
      </c>
      <c r="K62" s="360">
        <f t="shared" ref="K62:P65" si="39">IFERROR($D62*K83/100, 0)</f>
        <v>5.2360000000000007</v>
      </c>
      <c r="L62" s="361">
        <f t="shared" si="39"/>
        <v>3.1415999999999995</v>
      </c>
      <c r="M62" s="362">
        <f t="shared" si="39"/>
        <v>0.13089999999999999</v>
      </c>
      <c r="N62" s="1053">
        <f t="shared" si="39"/>
        <v>0</v>
      </c>
      <c r="O62" s="359">
        <f t="shared" si="39"/>
        <v>0</v>
      </c>
      <c r="P62" s="1052">
        <f t="shared" si="39"/>
        <v>0</v>
      </c>
    </row>
    <row r="63" spans="2:17" s="1" customFormat="1" x14ac:dyDescent="0.25">
      <c r="B63" s="509" t="s">
        <v>156</v>
      </c>
      <c r="C63" s="510" t="s">
        <v>597</v>
      </c>
      <c r="D63" s="603">
        <v>0</v>
      </c>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0</v>
      </c>
      <c r="E65" s="1052">
        <f>IFERROR($D65*E86/100, 0)</f>
        <v>0</v>
      </c>
      <c r="F65" s="1052">
        <f t="shared" si="32"/>
        <v>0</v>
      </c>
      <c r="G65" s="360">
        <f t="shared" si="38"/>
        <v>0</v>
      </c>
      <c r="H65" s="361">
        <f t="shared" si="38"/>
        <v>0</v>
      </c>
      <c r="I65" s="362">
        <f t="shared" si="38"/>
        <v>0</v>
      </c>
      <c r="J65" s="308">
        <f t="shared" si="33"/>
        <v>0</v>
      </c>
      <c r="K65" s="360">
        <f t="shared" si="39"/>
        <v>0</v>
      </c>
      <c r="L65" s="361">
        <f t="shared" si="39"/>
        <v>0</v>
      </c>
      <c r="M65" s="362">
        <f t="shared" si="39"/>
        <v>0</v>
      </c>
      <c r="N65" s="1053">
        <f t="shared" si="39"/>
        <v>0</v>
      </c>
      <c r="O65" s="359">
        <f t="shared" si="39"/>
        <v>0</v>
      </c>
      <c r="P65" s="1052">
        <f t="shared" si="39"/>
        <v>0</v>
      </c>
    </row>
    <row r="66" spans="2:16" s="1" customFormat="1" x14ac:dyDescent="0.25">
      <c r="B66" s="499" t="s">
        <v>160</v>
      </c>
      <c r="C66" s="524" t="s">
        <v>27</v>
      </c>
      <c r="D66" s="1049">
        <f>D67+D68</f>
        <v>12.29</v>
      </c>
      <c r="E66" s="1050">
        <f>E67+E68</f>
        <v>0.1229</v>
      </c>
      <c r="F66" s="1050">
        <f t="shared" si="32"/>
        <v>4.1785999999999994</v>
      </c>
      <c r="G66" s="147">
        <f>G67+G68</f>
        <v>0.36869999999999997</v>
      </c>
      <c r="H66" s="148">
        <f>H67+H68</f>
        <v>0.1229</v>
      </c>
      <c r="I66" s="149">
        <f>I67+I68</f>
        <v>3.6869999999999998</v>
      </c>
      <c r="J66" s="146">
        <f t="shared" si="33"/>
        <v>7.9884999999999984</v>
      </c>
      <c r="K66" s="147">
        <f t="shared" ref="K66:P66" si="40">K67+K68</f>
        <v>4.9159999999999995</v>
      </c>
      <c r="L66" s="148">
        <f t="shared" si="40"/>
        <v>2.9495999999999998</v>
      </c>
      <c r="M66" s="149">
        <f t="shared" si="40"/>
        <v>0.1229</v>
      </c>
      <c r="N66" s="1051">
        <f t="shared" si="40"/>
        <v>0</v>
      </c>
      <c r="O66" s="145">
        <f t="shared" si="40"/>
        <v>0</v>
      </c>
      <c r="P66" s="1050">
        <f t="shared" si="40"/>
        <v>0</v>
      </c>
    </row>
    <row r="67" spans="2:16" s="1" customFormat="1" ht="51.75" x14ac:dyDescent="0.25">
      <c r="B67" s="509" t="s">
        <v>412</v>
      </c>
      <c r="C67" s="525" t="s">
        <v>29</v>
      </c>
      <c r="D67" s="603">
        <v>12.29</v>
      </c>
      <c r="E67" s="1052">
        <f>IFERROR($D67*E87/100, 0)</f>
        <v>0.1229</v>
      </c>
      <c r="F67" s="1052">
        <f t="shared" si="32"/>
        <v>4.1785999999999994</v>
      </c>
      <c r="G67" s="360">
        <f t="shared" ref="G67:I68" si="41">IFERROR($D67*G87/100, 0)</f>
        <v>0.36869999999999997</v>
      </c>
      <c r="H67" s="361">
        <f t="shared" si="41"/>
        <v>0.1229</v>
      </c>
      <c r="I67" s="362">
        <f t="shared" si="41"/>
        <v>3.6869999999999998</v>
      </c>
      <c r="J67" s="308">
        <f t="shared" si="33"/>
        <v>7.9884999999999984</v>
      </c>
      <c r="K67" s="360">
        <f t="shared" ref="K67:P68" si="42">IFERROR($D67*K87/100, 0)</f>
        <v>4.9159999999999995</v>
      </c>
      <c r="L67" s="361">
        <f t="shared" si="42"/>
        <v>2.9495999999999998</v>
      </c>
      <c r="M67" s="362">
        <f t="shared" si="42"/>
        <v>0.1229</v>
      </c>
      <c r="N67" s="1053">
        <f t="shared" si="42"/>
        <v>0</v>
      </c>
      <c r="O67" s="359">
        <f t="shared" si="42"/>
        <v>0</v>
      </c>
      <c r="P67" s="1052">
        <f t="shared" si="42"/>
        <v>0</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2.76</v>
      </c>
      <c r="E69" s="1050">
        <f>E70+E71</f>
        <v>2.76E-2</v>
      </c>
      <c r="F69" s="1050">
        <f t="shared" si="32"/>
        <v>0.9383999999999999</v>
      </c>
      <c r="G69" s="147">
        <f>G70+G71</f>
        <v>8.2799999999999999E-2</v>
      </c>
      <c r="H69" s="148">
        <f>H70+H71</f>
        <v>2.76E-2</v>
      </c>
      <c r="I69" s="149">
        <f>I70+I71</f>
        <v>0.82799999999999996</v>
      </c>
      <c r="J69" s="146">
        <f t="shared" si="33"/>
        <v>1.794</v>
      </c>
      <c r="K69" s="147">
        <f t="shared" ref="K69:P69" si="43">K70+K71</f>
        <v>1.1039999999999999</v>
      </c>
      <c r="L69" s="148">
        <f t="shared" si="43"/>
        <v>0.66239999999999999</v>
      </c>
      <c r="M69" s="149">
        <f t="shared" si="43"/>
        <v>2.76E-2</v>
      </c>
      <c r="N69" s="1051">
        <f t="shared" si="43"/>
        <v>0</v>
      </c>
      <c r="O69" s="145">
        <f t="shared" si="43"/>
        <v>0</v>
      </c>
      <c r="P69" s="1050">
        <f t="shared" si="43"/>
        <v>0</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2.76</v>
      </c>
      <c r="E71" s="1052">
        <f>IFERROR($D71*E90/100, 0)</f>
        <v>2.76E-2</v>
      </c>
      <c r="F71" s="1052">
        <f t="shared" si="32"/>
        <v>0.9383999999999999</v>
      </c>
      <c r="G71" s="360">
        <f t="shared" si="44"/>
        <v>8.2799999999999999E-2</v>
      </c>
      <c r="H71" s="361">
        <f t="shared" si="44"/>
        <v>2.76E-2</v>
      </c>
      <c r="I71" s="362">
        <f t="shared" si="44"/>
        <v>0.82799999999999996</v>
      </c>
      <c r="J71" s="308">
        <f t="shared" si="33"/>
        <v>1.794</v>
      </c>
      <c r="K71" s="360">
        <f t="shared" si="45"/>
        <v>1.1039999999999999</v>
      </c>
      <c r="L71" s="361">
        <f t="shared" si="45"/>
        <v>0.66239999999999999</v>
      </c>
      <c r="M71" s="362">
        <f t="shared" si="45"/>
        <v>2.76E-2</v>
      </c>
      <c r="N71" s="1053">
        <f t="shared" si="45"/>
        <v>0</v>
      </c>
      <c r="O71" s="359">
        <f t="shared" si="45"/>
        <v>0</v>
      </c>
      <c r="P71" s="1052">
        <f t="shared" si="45"/>
        <v>0</v>
      </c>
    </row>
    <row r="72" spans="2:16" s="1" customFormat="1" x14ac:dyDescent="0.25">
      <c r="B72" s="499" t="s">
        <v>418</v>
      </c>
      <c r="C72" s="536" t="s">
        <v>39</v>
      </c>
      <c r="D72" s="1061">
        <f>D73+D74</f>
        <v>13.239999999999998</v>
      </c>
      <c r="E72" s="1062">
        <f>E73+E74</f>
        <v>0.13239999999999999</v>
      </c>
      <c r="F72" s="1062">
        <f t="shared" si="32"/>
        <v>4.5015999999999998</v>
      </c>
      <c r="G72" s="1063">
        <f>G73+G74</f>
        <v>0.3972</v>
      </c>
      <c r="H72" s="1064">
        <f>H73+H74</f>
        <v>0.13239999999999999</v>
      </c>
      <c r="I72" s="1065">
        <f>I73+I74</f>
        <v>3.972</v>
      </c>
      <c r="J72" s="1066">
        <f t="shared" si="33"/>
        <v>8.6059999999999999</v>
      </c>
      <c r="K72" s="1063">
        <f t="shared" ref="K72:P72" si="46">K73+K74</f>
        <v>5.2959999999999994</v>
      </c>
      <c r="L72" s="1064">
        <f t="shared" si="46"/>
        <v>3.1776</v>
      </c>
      <c r="M72" s="1065">
        <f t="shared" si="46"/>
        <v>0.13239999999999999</v>
      </c>
      <c r="N72" s="1067">
        <f t="shared" si="46"/>
        <v>0</v>
      </c>
      <c r="O72" s="1068">
        <f t="shared" si="46"/>
        <v>0</v>
      </c>
      <c r="P72" s="1062">
        <f t="shared" si="46"/>
        <v>0</v>
      </c>
    </row>
    <row r="73" spans="2:16" s="1" customFormat="1" x14ac:dyDescent="0.25">
      <c r="B73" s="1069" t="s">
        <v>616</v>
      </c>
      <c r="C73" s="545" t="s">
        <v>41</v>
      </c>
      <c r="D73" s="608">
        <v>5.2</v>
      </c>
      <c r="E73" s="1052">
        <f>IFERROR($D73*E91/100, 0)</f>
        <v>5.2000000000000005E-2</v>
      </c>
      <c r="F73" s="1052">
        <f t="shared" si="32"/>
        <v>1.768</v>
      </c>
      <c r="G73" s="360">
        <f t="shared" ref="G73:I74" si="47">IFERROR($D73*G91/100, 0)</f>
        <v>0.15600000000000003</v>
      </c>
      <c r="H73" s="361">
        <f t="shared" si="47"/>
        <v>5.2000000000000005E-2</v>
      </c>
      <c r="I73" s="362">
        <f t="shared" si="47"/>
        <v>1.56</v>
      </c>
      <c r="J73" s="308">
        <f t="shared" si="33"/>
        <v>3.3800000000000003</v>
      </c>
      <c r="K73" s="360">
        <f t="shared" ref="K73:P74" si="48">IFERROR($D73*K91/100, 0)</f>
        <v>2.08</v>
      </c>
      <c r="L73" s="361">
        <f t="shared" si="48"/>
        <v>1.2480000000000002</v>
      </c>
      <c r="M73" s="362">
        <f t="shared" si="48"/>
        <v>5.2000000000000005E-2</v>
      </c>
      <c r="N73" s="1053">
        <f t="shared" si="48"/>
        <v>0</v>
      </c>
      <c r="O73" s="359">
        <f t="shared" si="48"/>
        <v>0</v>
      </c>
      <c r="P73" s="1052">
        <f t="shared" si="48"/>
        <v>0</v>
      </c>
    </row>
    <row r="74" spans="2:16" s="1" customFormat="1" ht="26.25" x14ac:dyDescent="0.25">
      <c r="B74" s="1069" t="s">
        <v>617</v>
      </c>
      <c r="C74" s="552" t="s">
        <v>43</v>
      </c>
      <c r="D74" s="609">
        <v>8.0399999999999991</v>
      </c>
      <c r="E74" s="1052">
        <f>IFERROR($D74*E92/100, 0)</f>
        <v>8.0399999999999985E-2</v>
      </c>
      <c r="F74" s="1052">
        <f t="shared" si="32"/>
        <v>2.7336</v>
      </c>
      <c r="G74" s="360">
        <f t="shared" si="47"/>
        <v>0.24119999999999997</v>
      </c>
      <c r="H74" s="361">
        <f t="shared" si="47"/>
        <v>8.0399999999999985E-2</v>
      </c>
      <c r="I74" s="362">
        <f t="shared" si="47"/>
        <v>2.4119999999999999</v>
      </c>
      <c r="J74" s="308">
        <f t="shared" si="33"/>
        <v>5.226</v>
      </c>
      <c r="K74" s="360">
        <f t="shared" si="48"/>
        <v>3.2159999999999997</v>
      </c>
      <c r="L74" s="361">
        <f t="shared" si="48"/>
        <v>1.9295999999999998</v>
      </c>
      <c r="M74" s="362">
        <f t="shared" si="48"/>
        <v>8.0399999999999985E-2</v>
      </c>
      <c r="N74" s="1053">
        <f t="shared" si="48"/>
        <v>0</v>
      </c>
      <c r="O74" s="359">
        <f t="shared" si="48"/>
        <v>0</v>
      </c>
      <c r="P74" s="1052">
        <f t="shared" si="48"/>
        <v>0</v>
      </c>
    </row>
    <row r="75" spans="2:16" s="1" customFormat="1" x14ac:dyDescent="0.25">
      <c r="B75" s="1080" t="s">
        <v>419</v>
      </c>
      <c r="C75" s="556" t="s">
        <v>602</v>
      </c>
      <c r="D75" s="1061">
        <f>D76+D77</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100</v>
      </c>
      <c r="E80" s="1117">
        <v>1</v>
      </c>
      <c r="F80" s="633">
        <f t="shared" ref="F80:F95" si="53">SUM(G80:I80)</f>
        <v>34</v>
      </c>
      <c r="G80" s="634">
        <v>3</v>
      </c>
      <c r="H80" s="635">
        <v>1</v>
      </c>
      <c r="I80" s="637">
        <v>30</v>
      </c>
      <c r="J80" s="633">
        <f t="shared" ref="J80:J95" si="54">SUM(K80:M80)</f>
        <v>65</v>
      </c>
      <c r="K80" s="634">
        <v>40</v>
      </c>
      <c r="L80" s="635">
        <v>24</v>
      </c>
      <c r="M80" s="637">
        <v>1</v>
      </c>
      <c r="N80" s="638">
        <v>0</v>
      </c>
      <c r="O80" s="1118">
        <v>0</v>
      </c>
      <c r="P80" s="640">
        <v>0</v>
      </c>
    </row>
    <row r="81" spans="2:17" s="1" customFormat="1" x14ac:dyDescent="0.25">
      <c r="B81" s="380" t="s">
        <v>69</v>
      </c>
      <c r="C81" s="1119" t="s">
        <v>621</v>
      </c>
      <c r="D81" s="643">
        <f t="shared" si="52"/>
        <v>100</v>
      </c>
      <c r="E81" s="1120">
        <v>1</v>
      </c>
      <c r="F81" s="645">
        <f t="shared" si="53"/>
        <v>34</v>
      </c>
      <c r="G81" s="646">
        <v>3</v>
      </c>
      <c r="H81" s="647">
        <v>1</v>
      </c>
      <c r="I81" s="649">
        <v>30</v>
      </c>
      <c r="J81" s="645">
        <f t="shared" si="54"/>
        <v>65</v>
      </c>
      <c r="K81" s="646">
        <v>40</v>
      </c>
      <c r="L81" s="647">
        <v>24</v>
      </c>
      <c r="M81" s="649">
        <v>1</v>
      </c>
      <c r="N81" s="650">
        <v>0</v>
      </c>
      <c r="O81" s="1121">
        <v>0</v>
      </c>
      <c r="P81" s="652">
        <v>0</v>
      </c>
    </row>
    <row r="82" spans="2:17" s="1" customFormat="1" x14ac:dyDescent="0.25">
      <c r="B82" s="380" t="s">
        <v>71</v>
      </c>
      <c r="C82" s="1119" t="s">
        <v>622</v>
      </c>
      <c r="D82" s="643">
        <f t="shared" si="52"/>
        <v>100</v>
      </c>
      <c r="E82" s="1120">
        <v>1</v>
      </c>
      <c r="F82" s="645">
        <f t="shared" si="53"/>
        <v>34</v>
      </c>
      <c r="G82" s="646">
        <v>3</v>
      </c>
      <c r="H82" s="647">
        <v>1</v>
      </c>
      <c r="I82" s="649">
        <v>30</v>
      </c>
      <c r="J82" s="645">
        <f t="shared" si="54"/>
        <v>65</v>
      </c>
      <c r="K82" s="646">
        <v>40</v>
      </c>
      <c r="L82" s="647">
        <v>24</v>
      </c>
      <c r="M82" s="649">
        <v>1</v>
      </c>
      <c r="N82" s="650">
        <v>0</v>
      </c>
      <c r="O82" s="1121">
        <v>0</v>
      </c>
      <c r="P82" s="652">
        <v>0</v>
      </c>
    </row>
    <row r="83" spans="2:17" s="1" customFormat="1" x14ac:dyDescent="0.25">
      <c r="B83" s="382" t="s">
        <v>73</v>
      </c>
      <c r="C83" s="1119" t="s">
        <v>623</v>
      </c>
      <c r="D83" s="643">
        <f t="shared" si="52"/>
        <v>100</v>
      </c>
      <c r="E83" s="1120">
        <v>1</v>
      </c>
      <c r="F83" s="645">
        <f t="shared" si="53"/>
        <v>34</v>
      </c>
      <c r="G83" s="646">
        <v>3</v>
      </c>
      <c r="H83" s="647">
        <v>1</v>
      </c>
      <c r="I83" s="649">
        <v>30</v>
      </c>
      <c r="J83" s="645">
        <f t="shared" si="54"/>
        <v>65</v>
      </c>
      <c r="K83" s="646">
        <v>40</v>
      </c>
      <c r="L83" s="647">
        <v>24</v>
      </c>
      <c r="M83" s="649">
        <v>1</v>
      </c>
      <c r="N83" s="650">
        <v>0</v>
      </c>
      <c r="O83" s="1121">
        <v>0</v>
      </c>
      <c r="P83" s="652">
        <v>0</v>
      </c>
    </row>
    <row r="84" spans="2:17" s="1" customFormat="1" x14ac:dyDescent="0.25">
      <c r="B84" s="380" t="s">
        <v>75</v>
      </c>
      <c r="C84" s="1119" t="s">
        <v>624</v>
      </c>
      <c r="D84" s="643">
        <f t="shared" si="52"/>
        <v>100</v>
      </c>
      <c r="E84" s="1120">
        <v>1</v>
      </c>
      <c r="F84" s="645">
        <f t="shared" si="53"/>
        <v>34</v>
      </c>
      <c r="G84" s="646">
        <v>3</v>
      </c>
      <c r="H84" s="647">
        <v>1</v>
      </c>
      <c r="I84" s="649">
        <v>30</v>
      </c>
      <c r="J84" s="645">
        <f t="shared" si="54"/>
        <v>65</v>
      </c>
      <c r="K84" s="646">
        <v>40</v>
      </c>
      <c r="L84" s="647">
        <v>24</v>
      </c>
      <c r="M84" s="649">
        <v>1</v>
      </c>
      <c r="N84" s="650">
        <v>0</v>
      </c>
      <c r="O84" s="1121">
        <v>0</v>
      </c>
      <c r="P84" s="652">
        <v>0</v>
      </c>
    </row>
    <row r="85" spans="2:17" s="1" customFormat="1" x14ac:dyDescent="0.25">
      <c r="B85" s="380" t="s">
        <v>466</v>
      </c>
      <c r="C85" s="1119" t="s">
        <v>625</v>
      </c>
      <c r="D85" s="643">
        <f t="shared" si="52"/>
        <v>100</v>
      </c>
      <c r="E85" s="1120">
        <v>1</v>
      </c>
      <c r="F85" s="645">
        <f t="shared" si="53"/>
        <v>34</v>
      </c>
      <c r="G85" s="646">
        <v>3</v>
      </c>
      <c r="H85" s="647">
        <v>1</v>
      </c>
      <c r="I85" s="649">
        <v>30</v>
      </c>
      <c r="J85" s="645">
        <f t="shared" si="54"/>
        <v>65</v>
      </c>
      <c r="K85" s="646">
        <v>40</v>
      </c>
      <c r="L85" s="647">
        <v>24</v>
      </c>
      <c r="M85" s="649">
        <v>1</v>
      </c>
      <c r="N85" s="650">
        <v>0</v>
      </c>
      <c r="O85" s="1121">
        <v>0</v>
      </c>
      <c r="P85" s="652">
        <v>0</v>
      </c>
    </row>
    <row r="86" spans="2:17" s="1" customFormat="1" x14ac:dyDescent="0.25">
      <c r="B86" s="380" t="s">
        <v>470</v>
      </c>
      <c r="C86" s="1119" t="s">
        <v>626</v>
      </c>
      <c r="D86" s="643">
        <f t="shared" si="52"/>
        <v>100</v>
      </c>
      <c r="E86" s="1120">
        <v>1</v>
      </c>
      <c r="F86" s="645">
        <f t="shared" si="53"/>
        <v>34</v>
      </c>
      <c r="G86" s="646">
        <v>3</v>
      </c>
      <c r="H86" s="647">
        <v>1</v>
      </c>
      <c r="I86" s="649">
        <v>30</v>
      </c>
      <c r="J86" s="645">
        <f t="shared" si="54"/>
        <v>65</v>
      </c>
      <c r="K86" s="646">
        <v>40</v>
      </c>
      <c r="L86" s="647">
        <v>24</v>
      </c>
      <c r="M86" s="649">
        <v>1</v>
      </c>
      <c r="N86" s="650">
        <v>0</v>
      </c>
      <c r="O86" s="1121">
        <v>0</v>
      </c>
      <c r="P86" s="652">
        <v>0</v>
      </c>
    </row>
    <row r="87" spans="2:17" s="1" customFormat="1" x14ac:dyDescent="0.25">
      <c r="B87" s="382" t="s">
        <v>474</v>
      </c>
      <c r="C87" s="1119" t="s">
        <v>627</v>
      </c>
      <c r="D87" s="643">
        <f t="shared" si="52"/>
        <v>100</v>
      </c>
      <c r="E87" s="1120">
        <v>1</v>
      </c>
      <c r="F87" s="645">
        <f t="shared" si="53"/>
        <v>34</v>
      </c>
      <c r="G87" s="646">
        <v>3</v>
      </c>
      <c r="H87" s="647">
        <v>1</v>
      </c>
      <c r="I87" s="649">
        <v>30</v>
      </c>
      <c r="J87" s="645">
        <f t="shared" si="54"/>
        <v>65</v>
      </c>
      <c r="K87" s="646">
        <v>40</v>
      </c>
      <c r="L87" s="647">
        <v>24</v>
      </c>
      <c r="M87" s="649">
        <v>1</v>
      </c>
      <c r="N87" s="650">
        <v>0</v>
      </c>
      <c r="O87" s="1121">
        <v>0</v>
      </c>
      <c r="P87" s="652">
        <v>0</v>
      </c>
    </row>
    <row r="88" spans="2:17" s="1" customFormat="1" x14ac:dyDescent="0.25">
      <c r="B88" s="382" t="s">
        <v>478</v>
      </c>
      <c r="C88" s="1119" t="s">
        <v>628</v>
      </c>
      <c r="D88" s="643">
        <f t="shared" si="52"/>
        <v>100</v>
      </c>
      <c r="E88" s="1120">
        <v>1</v>
      </c>
      <c r="F88" s="645">
        <f t="shared" si="53"/>
        <v>34</v>
      </c>
      <c r="G88" s="646">
        <v>3</v>
      </c>
      <c r="H88" s="647">
        <v>1</v>
      </c>
      <c r="I88" s="649">
        <v>30</v>
      </c>
      <c r="J88" s="645">
        <f t="shared" si="54"/>
        <v>65</v>
      </c>
      <c r="K88" s="646">
        <v>40</v>
      </c>
      <c r="L88" s="647">
        <v>24</v>
      </c>
      <c r="M88" s="649">
        <v>1</v>
      </c>
      <c r="N88" s="650">
        <v>0</v>
      </c>
      <c r="O88" s="1121">
        <v>0</v>
      </c>
      <c r="P88" s="652">
        <v>0</v>
      </c>
    </row>
    <row r="89" spans="2:17" s="1" customFormat="1" x14ac:dyDescent="0.25">
      <c r="B89" s="382" t="s">
        <v>494</v>
      </c>
      <c r="C89" s="1119" t="s">
        <v>629</v>
      </c>
      <c r="D89" s="643">
        <f t="shared" si="52"/>
        <v>100</v>
      </c>
      <c r="E89" s="1120">
        <v>1</v>
      </c>
      <c r="F89" s="645">
        <f t="shared" si="53"/>
        <v>34</v>
      </c>
      <c r="G89" s="646">
        <v>3</v>
      </c>
      <c r="H89" s="647">
        <v>1</v>
      </c>
      <c r="I89" s="649">
        <v>30</v>
      </c>
      <c r="J89" s="645">
        <f t="shared" si="54"/>
        <v>65</v>
      </c>
      <c r="K89" s="646">
        <v>40</v>
      </c>
      <c r="L89" s="647">
        <v>24</v>
      </c>
      <c r="M89" s="649">
        <v>1</v>
      </c>
      <c r="N89" s="650">
        <v>0</v>
      </c>
      <c r="O89" s="1121">
        <v>0</v>
      </c>
      <c r="P89" s="652">
        <v>0</v>
      </c>
    </row>
    <row r="90" spans="2:17" s="1" customFormat="1" x14ac:dyDescent="0.25">
      <c r="B90" s="382" t="s">
        <v>495</v>
      </c>
      <c r="C90" s="1119" t="s">
        <v>630</v>
      </c>
      <c r="D90" s="643">
        <f t="shared" si="52"/>
        <v>100</v>
      </c>
      <c r="E90" s="1120">
        <v>1</v>
      </c>
      <c r="F90" s="645">
        <f t="shared" si="53"/>
        <v>34</v>
      </c>
      <c r="G90" s="646">
        <v>3</v>
      </c>
      <c r="H90" s="647">
        <v>1</v>
      </c>
      <c r="I90" s="649">
        <v>30</v>
      </c>
      <c r="J90" s="645">
        <f t="shared" si="54"/>
        <v>65</v>
      </c>
      <c r="K90" s="646">
        <v>40</v>
      </c>
      <c r="L90" s="647">
        <v>24</v>
      </c>
      <c r="M90" s="649">
        <v>1</v>
      </c>
      <c r="N90" s="650">
        <v>0</v>
      </c>
      <c r="O90" s="1121">
        <v>0</v>
      </c>
      <c r="P90" s="652">
        <v>0</v>
      </c>
    </row>
    <row r="91" spans="2:17" s="1" customFormat="1" x14ac:dyDescent="0.25">
      <c r="B91" s="382" t="s">
        <v>631</v>
      </c>
      <c r="C91" s="1119" t="s">
        <v>632</v>
      </c>
      <c r="D91" s="643">
        <f t="shared" si="52"/>
        <v>100</v>
      </c>
      <c r="E91" s="1120">
        <v>1</v>
      </c>
      <c r="F91" s="645">
        <f t="shared" si="53"/>
        <v>34</v>
      </c>
      <c r="G91" s="646">
        <v>3</v>
      </c>
      <c r="H91" s="647">
        <v>1</v>
      </c>
      <c r="I91" s="649">
        <v>30</v>
      </c>
      <c r="J91" s="645">
        <f t="shared" si="54"/>
        <v>65</v>
      </c>
      <c r="K91" s="646">
        <v>40</v>
      </c>
      <c r="L91" s="647">
        <v>24</v>
      </c>
      <c r="M91" s="649">
        <v>1</v>
      </c>
      <c r="N91" s="650">
        <v>0</v>
      </c>
      <c r="O91" s="1121">
        <v>0</v>
      </c>
      <c r="P91" s="652">
        <v>0</v>
      </c>
    </row>
    <row r="92" spans="2:17" s="1" customFormat="1" x14ac:dyDescent="0.25">
      <c r="B92" s="382" t="s">
        <v>633</v>
      </c>
      <c r="C92" s="1119" t="s">
        <v>634</v>
      </c>
      <c r="D92" s="643">
        <f t="shared" si="52"/>
        <v>100</v>
      </c>
      <c r="E92" s="1120">
        <v>1</v>
      </c>
      <c r="F92" s="645">
        <f t="shared" si="53"/>
        <v>34</v>
      </c>
      <c r="G92" s="646">
        <v>3</v>
      </c>
      <c r="H92" s="647">
        <v>1</v>
      </c>
      <c r="I92" s="649">
        <v>30</v>
      </c>
      <c r="J92" s="645">
        <f t="shared" si="54"/>
        <v>65</v>
      </c>
      <c r="K92" s="646">
        <v>40</v>
      </c>
      <c r="L92" s="647">
        <v>24</v>
      </c>
      <c r="M92" s="649">
        <v>1</v>
      </c>
      <c r="N92" s="650">
        <v>0</v>
      </c>
      <c r="O92" s="1121">
        <v>0</v>
      </c>
      <c r="P92" s="652">
        <v>0</v>
      </c>
    </row>
    <row r="93" spans="2:17" s="1" customFormat="1" x14ac:dyDescent="0.25">
      <c r="B93" s="380" t="s">
        <v>635</v>
      </c>
      <c r="C93" s="1119" t="s">
        <v>636</v>
      </c>
      <c r="D93" s="643">
        <f t="shared" si="52"/>
        <v>100</v>
      </c>
      <c r="E93" s="1120">
        <v>1</v>
      </c>
      <c r="F93" s="645">
        <f t="shared" si="53"/>
        <v>34</v>
      </c>
      <c r="G93" s="646">
        <v>3</v>
      </c>
      <c r="H93" s="647">
        <v>1</v>
      </c>
      <c r="I93" s="649">
        <v>30</v>
      </c>
      <c r="J93" s="645">
        <f t="shared" si="54"/>
        <v>65</v>
      </c>
      <c r="K93" s="646">
        <v>40</v>
      </c>
      <c r="L93" s="647">
        <v>24</v>
      </c>
      <c r="M93" s="649">
        <v>1</v>
      </c>
      <c r="N93" s="650">
        <v>0</v>
      </c>
      <c r="O93" s="1121">
        <v>0</v>
      </c>
      <c r="P93" s="652">
        <v>0</v>
      </c>
    </row>
    <row r="94" spans="2:17" s="1" customFormat="1" x14ac:dyDescent="0.25">
      <c r="B94" s="382" t="s">
        <v>637</v>
      </c>
      <c r="C94" s="1122" t="s">
        <v>638</v>
      </c>
      <c r="D94" s="655">
        <f t="shared" si="52"/>
        <v>100</v>
      </c>
      <c r="E94" s="1123">
        <v>1</v>
      </c>
      <c r="F94" s="657">
        <f t="shared" si="53"/>
        <v>34</v>
      </c>
      <c r="G94" s="658">
        <v>3</v>
      </c>
      <c r="H94" s="659">
        <v>1</v>
      </c>
      <c r="I94" s="661">
        <v>30</v>
      </c>
      <c r="J94" s="657">
        <f t="shared" si="54"/>
        <v>65</v>
      </c>
      <c r="K94" s="658">
        <v>40</v>
      </c>
      <c r="L94" s="659">
        <v>24</v>
      </c>
      <c r="M94" s="661">
        <v>1</v>
      </c>
      <c r="N94" s="662">
        <v>0</v>
      </c>
      <c r="O94" s="1124">
        <v>0</v>
      </c>
      <c r="P94" s="664">
        <v>0</v>
      </c>
    </row>
    <row r="95" spans="2:17" s="1" customFormat="1" ht="15.75" thickBot="1" x14ac:dyDescent="0.3">
      <c r="B95" s="1125" t="s">
        <v>639</v>
      </c>
      <c r="C95" s="1126" t="s">
        <v>640</v>
      </c>
      <c r="D95" s="667">
        <f t="shared" si="52"/>
        <v>100</v>
      </c>
      <c r="E95" s="1127">
        <v>1</v>
      </c>
      <c r="F95" s="1128">
        <f t="shared" si="53"/>
        <v>34</v>
      </c>
      <c r="G95" s="670">
        <v>3</v>
      </c>
      <c r="H95" s="671">
        <v>1</v>
      </c>
      <c r="I95" s="673">
        <v>30</v>
      </c>
      <c r="J95" s="669">
        <f t="shared" si="54"/>
        <v>65</v>
      </c>
      <c r="K95" s="670">
        <v>40</v>
      </c>
      <c r="L95" s="671">
        <v>24</v>
      </c>
      <c r="M95" s="673">
        <v>1</v>
      </c>
      <c r="N95" s="668">
        <v>0</v>
      </c>
      <c r="O95" s="1129">
        <v>0</v>
      </c>
      <c r="P95" s="1127">
        <v>0</v>
      </c>
    </row>
    <row r="96" spans="2:17" s="1" customFormat="1" ht="16.5" thickTop="1" thickBot="1" x14ac:dyDescent="0.3">
      <c r="B96" s="489" t="s">
        <v>77</v>
      </c>
      <c r="C96" s="489" t="s">
        <v>641</v>
      </c>
      <c r="D96" s="1041">
        <f t="shared" ref="D96:P96" si="55">D97+D101+D106+D108+D111+D114</f>
        <v>6.35</v>
      </c>
      <c r="E96" s="1042">
        <f t="shared" si="55"/>
        <v>0</v>
      </c>
      <c r="F96" s="1042">
        <f t="shared" si="55"/>
        <v>0.69046309366604275</v>
      </c>
      <c r="G96" s="1043">
        <f t="shared" si="55"/>
        <v>0.57499020991757976</v>
      </c>
      <c r="H96" s="1044">
        <f t="shared" si="55"/>
        <v>9.1083284003460482E-2</v>
      </c>
      <c r="I96" s="1045">
        <f t="shared" si="55"/>
        <v>2.4389599745002502E-2</v>
      </c>
      <c r="J96" s="1046">
        <f t="shared" si="55"/>
        <v>3.7670060561905192</v>
      </c>
      <c r="K96" s="1043">
        <f t="shared" si="55"/>
        <v>1.4733044943308595</v>
      </c>
      <c r="L96" s="1044">
        <f t="shared" si="55"/>
        <v>2.1620408906698234</v>
      </c>
      <c r="M96" s="1045">
        <f t="shared" si="55"/>
        <v>0.13166067118983646</v>
      </c>
      <c r="N96" s="1047">
        <f t="shared" si="55"/>
        <v>0</v>
      </c>
      <c r="O96" s="1048">
        <f t="shared" si="55"/>
        <v>0</v>
      </c>
      <c r="P96" s="1042">
        <f t="shared" si="55"/>
        <v>0</v>
      </c>
      <c r="Q96" s="602"/>
    </row>
    <row r="97" spans="2:17" s="1" customFormat="1" ht="15.75" thickTop="1" x14ac:dyDescent="0.25">
      <c r="B97" s="499" t="s">
        <v>497</v>
      </c>
      <c r="C97" s="500" t="s">
        <v>8</v>
      </c>
      <c r="D97" s="1049">
        <f>SUM(D98:D100)</f>
        <v>0.64</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0.64</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4.74</v>
      </c>
      <c r="E101" s="1050">
        <f>SUM(E102:E105)</f>
        <v>0</v>
      </c>
      <c r="F101" s="1050">
        <f t="shared" si="56"/>
        <v>0.69046309366604275</v>
      </c>
      <c r="G101" s="147">
        <f>SUM(G102:G105)</f>
        <v>0.57499020991757976</v>
      </c>
      <c r="H101" s="148">
        <f>SUM(H102:H105)</f>
        <v>9.1083284003460482E-2</v>
      </c>
      <c r="I101" s="149">
        <f>SUM(I102:I105)</f>
        <v>2.4389599745002502E-2</v>
      </c>
      <c r="J101" s="146">
        <f t="shared" si="57"/>
        <v>3.7670060561905192</v>
      </c>
      <c r="K101" s="147">
        <f t="shared" ref="K101:P101" si="61">SUM(K102:K105)</f>
        <v>1.4733044943308595</v>
      </c>
      <c r="L101" s="148">
        <f t="shared" si="61"/>
        <v>2.1620408906698234</v>
      </c>
      <c r="M101" s="149">
        <f t="shared" si="61"/>
        <v>0.13166067118983646</v>
      </c>
      <c r="N101" s="1051">
        <f t="shared" si="61"/>
        <v>0</v>
      </c>
      <c r="O101" s="145">
        <f t="shared" si="61"/>
        <v>0</v>
      </c>
      <c r="P101" s="1050">
        <f t="shared" si="61"/>
        <v>0</v>
      </c>
      <c r="Q101" s="602"/>
    </row>
    <row r="102" spans="2:17" s="1" customFormat="1" x14ac:dyDescent="0.25">
      <c r="B102" s="509" t="s">
        <v>500</v>
      </c>
      <c r="C102" s="510" t="s">
        <v>17</v>
      </c>
      <c r="D102" s="603">
        <v>4.74</v>
      </c>
      <c r="E102" s="1052">
        <f>IFERROR($D102*E122/100, 0)</f>
        <v>0</v>
      </c>
      <c r="F102" s="1052">
        <f t="shared" si="56"/>
        <v>0.69046309366604275</v>
      </c>
      <c r="G102" s="360">
        <f t="shared" ref="G102:I105" si="62">IFERROR($D102*G122/100, 0)</f>
        <v>0.57499020991757976</v>
      </c>
      <c r="H102" s="361">
        <f t="shared" si="62"/>
        <v>9.1083284003460482E-2</v>
      </c>
      <c r="I102" s="362">
        <f t="shared" si="62"/>
        <v>2.4389599745002502E-2</v>
      </c>
      <c r="J102" s="308">
        <f t="shared" si="57"/>
        <v>3.7670060561905192</v>
      </c>
      <c r="K102" s="360">
        <f t="shared" ref="K102:P105" si="63">IFERROR($D102*K122/100, 0)</f>
        <v>1.4733044943308595</v>
      </c>
      <c r="L102" s="361">
        <f t="shared" si="63"/>
        <v>2.1620408906698234</v>
      </c>
      <c r="M102" s="362">
        <f t="shared" si="63"/>
        <v>0.13166067118983646</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v>
      </c>
      <c r="E106" s="1050">
        <f>E107</f>
        <v>0</v>
      </c>
      <c r="F106" s="1050">
        <f t="shared" si="56"/>
        <v>0</v>
      </c>
      <c r="G106" s="147">
        <f>G107</f>
        <v>0</v>
      </c>
      <c r="H106" s="148">
        <f>H107</f>
        <v>0</v>
      </c>
      <c r="I106" s="149">
        <f>I107</f>
        <v>0</v>
      </c>
      <c r="J106" s="146">
        <f t="shared" si="57"/>
        <v>0</v>
      </c>
      <c r="K106" s="147">
        <f t="shared" ref="K106:P106" si="64">K107</f>
        <v>0</v>
      </c>
      <c r="L106" s="148">
        <f t="shared" si="64"/>
        <v>0</v>
      </c>
      <c r="M106" s="149">
        <f t="shared" si="64"/>
        <v>0</v>
      </c>
      <c r="N106" s="1051">
        <f t="shared" si="64"/>
        <v>0</v>
      </c>
      <c r="O106" s="145">
        <f t="shared" si="64"/>
        <v>0</v>
      </c>
      <c r="P106" s="1050">
        <f t="shared" si="64"/>
        <v>0</v>
      </c>
      <c r="Q106" s="602"/>
    </row>
    <row r="107" spans="2:17" s="1" customFormat="1" x14ac:dyDescent="0.25">
      <c r="B107" s="509" t="s">
        <v>503</v>
      </c>
      <c r="C107" s="525" t="s">
        <v>647</v>
      </c>
      <c r="D107" s="603"/>
      <c r="E107" s="1052">
        <f>IFERROR($D107*E126/100, 0)</f>
        <v>0</v>
      </c>
      <c r="F107" s="1052">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53">
        <f t="shared" si="65"/>
        <v>0</v>
      </c>
      <c r="O107" s="359">
        <f t="shared" si="65"/>
        <v>0</v>
      </c>
      <c r="P107" s="1052">
        <f t="shared" si="65"/>
        <v>0</v>
      </c>
    </row>
    <row r="108" spans="2:17" s="1" customFormat="1" x14ac:dyDescent="0.25">
      <c r="B108" s="499" t="s">
        <v>175</v>
      </c>
      <c r="C108" s="524" t="s">
        <v>33</v>
      </c>
      <c r="D108" s="1049">
        <f>D109+D110</f>
        <v>0</v>
      </c>
      <c r="E108" s="1050">
        <f>E109+E110</f>
        <v>0</v>
      </c>
      <c r="F108" s="1050">
        <f t="shared" si="56"/>
        <v>0</v>
      </c>
      <c r="G108" s="147">
        <f>G109+G110</f>
        <v>0</v>
      </c>
      <c r="H108" s="148">
        <f>H109+H110</f>
        <v>0</v>
      </c>
      <c r="I108" s="149">
        <f>I109+I110</f>
        <v>0</v>
      </c>
      <c r="J108" s="146">
        <f t="shared" si="57"/>
        <v>0</v>
      </c>
      <c r="K108" s="147">
        <f t="shared" ref="K108:P108" si="66">K109+K110</f>
        <v>0</v>
      </c>
      <c r="L108" s="148">
        <f t="shared" si="66"/>
        <v>0</v>
      </c>
      <c r="M108" s="149">
        <f t="shared" si="66"/>
        <v>0</v>
      </c>
      <c r="N108" s="1051">
        <f t="shared" si="66"/>
        <v>0</v>
      </c>
      <c r="O108" s="145">
        <f t="shared" si="66"/>
        <v>0</v>
      </c>
      <c r="P108" s="1050">
        <f t="shared" si="66"/>
        <v>0</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0</v>
      </c>
      <c r="E110" s="1052">
        <f>IFERROR($D110*E128/100, 0)</f>
        <v>0</v>
      </c>
      <c r="F110" s="1052">
        <f t="shared" si="56"/>
        <v>0</v>
      </c>
      <c r="G110" s="360">
        <f t="shared" si="67"/>
        <v>0</v>
      </c>
      <c r="H110" s="361">
        <f t="shared" si="67"/>
        <v>0</v>
      </c>
      <c r="I110" s="362">
        <f t="shared" si="67"/>
        <v>0</v>
      </c>
      <c r="J110" s="308">
        <f t="shared" si="57"/>
        <v>0</v>
      </c>
      <c r="K110" s="360">
        <f t="shared" si="68"/>
        <v>0</v>
      </c>
      <c r="L110" s="361">
        <f t="shared" si="68"/>
        <v>0</v>
      </c>
      <c r="M110" s="362">
        <f t="shared" si="68"/>
        <v>0</v>
      </c>
      <c r="N110" s="1053">
        <f t="shared" si="68"/>
        <v>0</v>
      </c>
      <c r="O110" s="359">
        <f t="shared" si="68"/>
        <v>0</v>
      </c>
      <c r="P110" s="1052">
        <f t="shared" si="68"/>
        <v>0</v>
      </c>
    </row>
    <row r="111" spans="2:17" s="1" customFormat="1" x14ac:dyDescent="0.25">
      <c r="B111" s="499" t="s">
        <v>177</v>
      </c>
      <c r="C111" s="536" t="s">
        <v>39</v>
      </c>
      <c r="D111" s="1061">
        <f>D112+D113</f>
        <v>0</v>
      </c>
      <c r="E111" s="1062">
        <f>E112+E113</f>
        <v>0</v>
      </c>
      <c r="F111" s="1062">
        <f t="shared" si="56"/>
        <v>0</v>
      </c>
      <c r="G111" s="1063">
        <f>G112+G113</f>
        <v>0</v>
      </c>
      <c r="H111" s="1064">
        <f>H112+H113</f>
        <v>0</v>
      </c>
      <c r="I111" s="1065">
        <f>I112+I113</f>
        <v>0</v>
      </c>
      <c r="J111" s="1066">
        <f t="shared" si="57"/>
        <v>0</v>
      </c>
      <c r="K111" s="1063">
        <f t="shared" ref="K111:P111" si="69">K112+K113</f>
        <v>0</v>
      </c>
      <c r="L111" s="1064">
        <f t="shared" si="69"/>
        <v>0</v>
      </c>
      <c r="M111" s="1065">
        <f t="shared" si="69"/>
        <v>0</v>
      </c>
      <c r="N111" s="1067">
        <f t="shared" si="69"/>
        <v>0</v>
      </c>
      <c r="O111" s="1068">
        <f t="shared" si="69"/>
        <v>0</v>
      </c>
      <c r="P111" s="1062">
        <f t="shared" si="69"/>
        <v>0</v>
      </c>
      <c r="Q111" s="602"/>
    </row>
    <row r="112" spans="2:17" s="1" customFormat="1" x14ac:dyDescent="0.25">
      <c r="B112" s="1069" t="s">
        <v>648</v>
      </c>
      <c r="C112" s="545" t="s">
        <v>41</v>
      </c>
      <c r="D112" s="608">
        <v>0</v>
      </c>
      <c r="E112" s="1052">
        <f>IFERROR($D112*E129/100, 0)</f>
        <v>0</v>
      </c>
      <c r="F112" s="1052">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53">
        <f t="shared" si="71"/>
        <v>0</v>
      </c>
      <c r="O112" s="359">
        <f t="shared" si="71"/>
        <v>0</v>
      </c>
      <c r="P112" s="1052">
        <f t="shared" si="71"/>
        <v>0</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0.97</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1247</v>
      </c>
      <c r="D115" s="609">
        <v>0.69</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1248</v>
      </c>
      <c r="D116" s="609">
        <v>0.28000000000000003</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0</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94.039433541277674</v>
      </c>
      <c r="E122" s="716">
        <v>0</v>
      </c>
      <c r="F122" s="645">
        <f t="shared" si="76"/>
        <v>14.566731933882757</v>
      </c>
      <c r="G122" s="724">
        <v>12.1305951459405</v>
      </c>
      <c r="H122" s="725">
        <v>1.9215882701152001</v>
      </c>
      <c r="I122" s="727">
        <v>0.51454851782705702</v>
      </c>
      <c r="J122" s="645">
        <f t="shared" si="77"/>
        <v>79.472701607394924</v>
      </c>
      <c r="K122" s="724">
        <v>31.0823732981194</v>
      </c>
      <c r="L122" s="725">
        <v>45.612677018350702</v>
      </c>
      <c r="M122" s="727">
        <v>2.7776512909248199</v>
      </c>
      <c r="N122" s="728">
        <v>0</v>
      </c>
      <c r="O122" s="1131">
        <v>0</v>
      </c>
      <c r="P122" s="730">
        <v>0</v>
      </c>
    </row>
    <row r="123" spans="2:17" s="1" customFormat="1" x14ac:dyDescent="0.25">
      <c r="B123" s="380" t="s">
        <v>656</v>
      </c>
      <c r="C123" s="1119" t="s">
        <v>657</v>
      </c>
      <c r="D123" s="643">
        <f t="shared" si="75"/>
        <v>100</v>
      </c>
      <c r="E123" s="716">
        <v>0</v>
      </c>
      <c r="F123" s="645">
        <f t="shared" si="76"/>
        <v>0</v>
      </c>
      <c r="G123" s="724">
        <v>0</v>
      </c>
      <c r="H123" s="725">
        <v>0</v>
      </c>
      <c r="I123" s="727">
        <v>0</v>
      </c>
      <c r="J123" s="645">
        <f t="shared" si="77"/>
        <v>100</v>
      </c>
      <c r="K123" s="724">
        <v>68.190476190476204</v>
      </c>
      <c r="L123" s="725">
        <v>31.8095238095238</v>
      </c>
      <c r="M123" s="727">
        <v>0</v>
      </c>
      <c r="N123" s="728">
        <v>0</v>
      </c>
      <c r="O123" s="1131">
        <v>0</v>
      </c>
      <c r="P123" s="730">
        <v>0</v>
      </c>
    </row>
    <row r="124" spans="2:17" s="1" customFormat="1" x14ac:dyDescent="0.25">
      <c r="B124" s="380" t="s">
        <v>658</v>
      </c>
      <c r="C124" s="1119" t="s">
        <v>659</v>
      </c>
      <c r="D124" s="643">
        <f t="shared" si="75"/>
        <v>100</v>
      </c>
      <c r="E124" s="716">
        <v>0</v>
      </c>
      <c r="F124" s="645">
        <f t="shared" si="76"/>
        <v>42.374269064959101</v>
      </c>
      <c r="G124" s="724">
        <v>0</v>
      </c>
      <c r="H124" s="725">
        <v>0</v>
      </c>
      <c r="I124" s="727">
        <v>42.374269064959101</v>
      </c>
      <c r="J124" s="645">
        <f t="shared" si="77"/>
        <v>57.625730935040899</v>
      </c>
      <c r="K124" s="724">
        <v>57.625730935040899</v>
      </c>
      <c r="L124" s="725">
        <v>0</v>
      </c>
      <c r="M124" s="727">
        <v>0</v>
      </c>
      <c r="N124" s="728">
        <v>0</v>
      </c>
      <c r="O124" s="1131">
        <v>0</v>
      </c>
      <c r="P124" s="730">
        <v>0</v>
      </c>
    </row>
    <row r="125" spans="2:17" s="1" customFormat="1" x14ac:dyDescent="0.25">
      <c r="B125" s="380" t="s">
        <v>660</v>
      </c>
      <c r="C125" s="1119" t="s">
        <v>661</v>
      </c>
      <c r="D125" s="643">
        <f t="shared" si="75"/>
        <v>100.00000000000001</v>
      </c>
      <c r="E125" s="716">
        <v>0</v>
      </c>
      <c r="F125" s="645">
        <f t="shared" si="76"/>
        <v>9.4269395036105781</v>
      </c>
      <c r="G125" s="724">
        <v>2.8713058095058401</v>
      </c>
      <c r="H125" s="725">
        <v>6.1354007649954596</v>
      </c>
      <c r="I125" s="727">
        <v>0.42023292910927801</v>
      </c>
      <c r="J125" s="645">
        <f t="shared" si="77"/>
        <v>90.573060496389431</v>
      </c>
      <c r="K125" s="724">
        <v>17.2346958028164</v>
      </c>
      <c r="L125" s="725">
        <v>70.545959760553004</v>
      </c>
      <c r="M125" s="727">
        <v>2.7924049330200198</v>
      </c>
      <c r="N125" s="728">
        <v>0</v>
      </c>
      <c r="O125" s="1131">
        <v>0</v>
      </c>
      <c r="P125" s="730">
        <v>0</v>
      </c>
    </row>
    <row r="126" spans="2:17" s="1" customFormat="1" x14ac:dyDescent="0.25">
      <c r="B126" s="382" t="s">
        <v>662</v>
      </c>
      <c r="C126" s="1119" t="s">
        <v>663</v>
      </c>
      <c r="D126" s="643">
        <f t="shared" si="75"/>
        <v>90.603257129750034</v>
      </c>
      <c r="E126" s="716">
        <v>0</v>
      </c>
      <c r="F126" s="645">
        <f t="shared" si="76"/>
        <v>35.652572826668681</v>
      </c>
      <c r="G126" s="724">
        <v>31.539108494533199</v>
      </c>
      <c r="H126" s="725">
        <v>0</v>
      </c>
      <c r="I126" s="727">
        <v>4.1134643321354796</v>
      </c>
      <c r="J126" s="645">
        <f t="shared" si="77"/>
        <v>54.950684303081346</v>
      </c>
      <c r="K126" s="724">
        <v>43.183729642939099</v>
      </c>
      <c r="L126" s="725">
        <v>11.224099701812101</v>
      </c>
      <c r="M126" s="727">
        <v>0.54285495833014796</v>
      </c>
      <c r="N126" s="728">
        <v>0</v>
      </c>
      <c r="O126" s="1131">
        <v>0</v>
      </c>
      <c r="P126" s="730">
        <v>0</v>
      </c>
    </row>
    <row r="127" spans="2:17" s="1" customFormat="1" x14ac:dyDescent="0.25">
      <c r="B127" s="382" t="s">
        <v>664</v>
      </c>
      <c r="C127" s="1119" t="s">
        <v>665</v>
      </c>
      <c r="D127" s="643">
        <f t="shared" si="75"/>
        <v>100</v>
      </c>
      <c r="E127" s="716">
        <v>98.457763757448305</v>
      </c>
      <c r="F127" s="645">
        <f t="shared" si="76"/>
        <v>0</v>
      </c>
      <c r="G127" s="724">
        <v>0</v>
      </c>
      <c r="H127" s="725">
        <v>0</v>
      </c>
      <c r="I127" s="727">
        <v>0</v>
      </c>
      <c r="J127" s="645">
        <f t="shared" si="77"/>
        <v>1.5422362425517</v>
      </c>
      <c r="K127" s="724">
        <v>0</v>
      </c>
      <c r="L127" s="725">
        <v>1.5422362425517</v>
      </c>
      <c r="M127" s="727">
        <v>0</v>
      </c>
      <c r="N127" s="728">
        <v>0</v>
      </c>
      <c r="O127" s="1131">
        <v>0</v>
      </c>
      <c r="P127" s="730">
        <v>0</v>
      </c>
    </row>
    <row r="128" spans="2:17" s="1" customFormat="1" x14ac:dyDescent="0.25">
      <c r="B128" s="382" t="s">
        <v>666</v>
      </c>
      <c r="C128" s="1119" t="s">
        <v>667</v>
      </c>
      <c r="D128" s="643">
        <f t="shared" si="75"/>
        <v>0</v>
      </c>
      <c r="E128" s="716">
        <v>0</v>
      </c>
      <c r="F128" s="645">
        <f t="shared" si="76"/>
        <v>0</v>
      </c>
      <c r="G128" s="724">
        <v>0</v>
      </c>
      <c r="H128" s="725">
        <v>0</v>
      </c>
      <c r="I128" s="727">
        <v>0</v>
      </c>
      <c r="J128" s="645">
        <f t="shared" si="77"/>
        <v>0</v>
      </c>
      <c r="K128" s="724">
        <v>0</v>
      </c>
      <c r="L128" s="725">
        <v>0</v>
      </c>
      <c r="M128" s="727">
        <v>0</v>
      </c>
      <c r="N128" s="728">
        <v>0</v>
      </c>
      <c r="O128" s="1131">
        <v>0</v>
      </c>
      <c r="P128" s="730">
        <v>0</v>
      </c>
    </row>
    <row r="129" spans="2:16" s="1" customFormat="1" x14ac:dyDescent="0.25">
      <c r="B129" s="382" t="s">
        <v>668</v>
      </c>
      <c r="C129" s="1119" t="s">
        <v>669</v>
      </c>
      <c r="D129" s="643">
        <f t="shared" si="75"/>
        <v>23.753665689149599</v>
      </c>
      <c r="E129" s="716">
        <v>23.753665689149599</v>
      </c>
      <c r="F129" s="645">
        <f t="shared" si="76"/>
        <v>0</v>
      </c>
      <c r="G129" s="724">
        <v>0</v>
      </c>
      <c r="H129" s="725">
        <v>0</v>
      </c>
      <c r="I129" s="727">
        <v>0</v>
      </c>
      <c r="J129" s="645">
        <f t="shared" si="77"/>
        <v>0</v>
      </c>
      <c r="K129" s="724">
        <v>0</v>
      </c>
      <c r="L129" s="725">
        <v>0</v>
      </c>
      <c r="M129" s="727">
        <v>0</v>
      </c>
      <c r="N129" s="728">
        <v>0</v>
      </c>
      <c r="O129" s="1131">
        <v>0</v>
      </c>
      <c r="P129" s="730">
        <v>0</v>
      </c>
    </row>
    <row r="130" spans="2:16" s="1" customFormat="1" x14ac:dyDescent="0.25">
      <c r="B130" s="380" t="s">
        <v>670</v>
      </c>
      <c r="C130" s="1119" t="s">
        <v>671</v>
      </c>
      <c r="D130" s="643">
        <f t="shared" si="75"/>
        <v>78.622706726934325</v>
      </c>
      <c r="E130" s="716">
        <v>0</v>
      </c>
      <c r="F130" s="645">
        <f t="shared" si="76"/>
        <v>0</v>
      </c>
      <c r="G130" s="724">
        <v>0</v>
      </c>
      <c r="H130" s="725">
        <v>0</v>
      </c>
      <c r="I130" s="727">
        <v>0</v>
      </c>
      <c r="J130" s="645">
        <f t="shared" si="77"/>
        <v>75.4054772666844</v>
      </c>
      <c r="K130" s="724">
        <v>75.4054772666844</v>
      </c>
      <c r="L130" s="725">
        <v>0</v>
      </c>
      <c r="M130" s="727">
        <v>0</v>
      </c>
      <c r="N130" s="728">
        <v>0</v>
      </c>
      <c r="O130" s="1131">
        <v>0</v>
      </c>
      <c r="P130" s="730">
        <v>3.2172294602499298</v>
      </c>
    </row>
    <row r="131" spans="2:16" s="1" customFormat="1" x14ac:dyDescent="0.25">
      <c r="B131" s="382" t="s">
        <v>672</v>
      </c>
      <c r="C131" s="1119" t="s">
        <v>673</v>
      </c>
      <c r="D131" s="643">
        <f t="shared" si="75"/>
        <v>0</v>
      </c>
      <c r="E131" s="716">
        <v>0</v>
      </c>
      <c r="F131" s="645">
        <f t="shared" si="76"/>
        <v>0</v>
      </c>
      <c r="G131" s="724">
        <v>0</v>
      </c>
      <c r="H131" s="725">
        <v>0</v>
      </c>
      <c r="I131" s="727">
        <v>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15.0769230769231</v>
      </c>
      <c r="E133" s="742">
        <v>0</v>
      </c>
      <c r="F133" s="743">
        <f t="shared" si="76"/>
        <v>0</v>
      </c>
      <c r="G133" s="744">
        <v>0</v>
      </c>
      <c r="H133" s="745">
        <v>0</v>
      </c>
      <c r="I133" s="747">
        <v>0</v>
      </c>
      <c r="J133" s="743">
        <f t="shared" si="77"/>
        <v>15.0769230769231</v>
      </c>
      <c r="K133" s="744">
        <v>0</v>
      </c>
      <c r="L133" s="745">
        <v>15.0769230769231</v>
      </c>
      <c r="M133" s="747">
        <v>0</v>
      </c>
      <c r="N133" s="748">
        <v>0</v>
      </c>
      <c r="O133" s="1135">
        <v>0</v>
      </c>
      <c r="P133" s="750">
        <v>0</v>
      </c>
    </row>
    <row r="134" spans="2:16" s="1" customFormat="1" ht="26.25" thickBot="1" x14ac:dyDescent="0.3">
      <c r="B134" s="1136" t="s">
        <v>81</v>
      </c>
      <c r="C134" s="33" t="s">
        <v>678</v>
      </c>
      <c r="D134" s="753">
        <f t="shared" si="75"/>
        <v>70.19636456467029</v>
      </c>
      <c r="E134" s="754">
        <f>IFERROR(E96/$D$96*100, 0)</f>
        <v>0</v>
      </c>
      <c r="F134" s="755">
        <f t="shared" si="76"/>
        <v>10.873434545921935</v>
      </c>
      <c r="G134" s="756">
        <f>IFERROR(G96/$D$96*100, 0)</f>
        <v>9.0549639357099192</v>
      </c>
      <c r="H134" s="757">
        <f>IFERROR(H96/$D$96*100, 0)</f>
        <v>1.4343824252513464</v>
      </c>
      <c r="I134" s="759">
        <f>IFERROR(I96/$D$96*100, 0)</f>
        <v>0.38408818496066938</v>
      </c>
      <c r="J134" s="755">
        <f t="shared" si="77"/>
        <v>59.322930018748352</v>
      </c>
      <c r="K134" s="756">
        <f t="shared" ref="K134:P134" si="78">IFERROR(K96/$D$96*100, 0)</f>
        <v>23.201645580013537</v>
      </c>
      <c r="L134" s="757">
        <f t="shared" si="78"/>
        <v>34.04788804204447</v>
      </c>
      <c r="M134" s="759">
        <f t="shared" si="78"/>
        <v>2.0733963966903382</v>
      </c>
      <c r="N134" s="755">
        <f t="shared" si="78"/>
        <v>0</v>
      </c>
      <c r="O134" s="755">
        <f t="shared" si="78"/>
        <v>0</v>
      </c>
      <c r="P134" s="755">
        <f t="shared" si="78"/>
        <v>0</v>
      </c>
    </row>
  </sheetData>
  <sheetProtection algorithmName="SHA-512" hashValue="ud7xqNzYIpyKoQlwKvbs7lJHVxJrepui2IICP7TvRGDUH5FAHQtjxOH7tJ6syeWEgiOEykli+1v0grN5FX+PVw==" saltValue="zJYGJkI9JMU/vOmsLSLDPnPc6GgHL8ybxRh33PAEy5+O4u3e6G2e2nOWF6kDuoK02SXLKcG7HP15NM4wchKNhA==" spinCount="100000" sheet="1" objects="1" scenarios="1"/>
  <mergeCells count="5">
    <mergeCell ref="B8:P8"/>
    <mergeCell ref="A1:P1"/>
    <mergeCell ref="A2:P2"/>
    <mergeCell ref="A3:P3"/>
    <mergeCell ref="A5:P5"/>
  </mergeCells>
  <pageMargins left="0.7" right="0.7" top="0.75" bottom="0.75" header="0.3" footer="0.3"/>
  <pageSetup scale="4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zoomScaleNormal="100" workbookViewId="0">
      <selection activeCell="E130" sqref="E130"/>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60" t="s">
        <v>0</v>
      </c>
      <c r="B1" s="1361"/>
      <c r="C1" s="1361"/>
      <c r="D1" s="1361"/>
      <c r="E1" s="1361"/>
      <c r="F1" s="1362"/>
    </row>
    <row r="2" spans="1:7" s="1" customFormat="1" x14ac:dyDescent="0.25">
      <c r="A2" s="1360" t="s">
        <v>1</v>
      </c>
      <c r="B2" s="1361"/>
      <c r="C2" s="1361"/>
      <c r="D2" s="1361"/>
      <c r="E2" s="1361"/>
      <c r="F2" s="1362"/>
    </row>
    <row r="3" spans="1:7" s="1" customFormat="1" x14ac:dyDescent="0.25">
      <c r="A3" s="1363"/>
      <c r="B3" s="1364"/>
      <c r="C3" s="1364"/>
      <c r="D3" s="1364"/>
      <c r="E3" s="1364"/>
      <c r="F3" s="1365"/>
    </row>
    <row r="4" spans="1:7" s="1" customFormat="1" x14ac:dyDescent="0.25">
      <c r="A4" s="1138"/>
      <c r="B4" s="1138"/>
      <c r="C4" s="1138"/>
      <c r="D4" s="1138"/>
      <c r="E4" s="1138"/>
      <c r="F4" s="1139"/>
    </row>
    <row r="5" spans="1:7" s="1" customFormat="1" x14ac:dyDescent="0.25">
      <c r="A5" s="1366" t="s">
        <v>951</v>
      </c>
      <c r="B5" s="1367"/>
      <c r="C5" s="1367"/>
      <c r="D5" s="1367"/>
      <c r="E5" s="1367"/>
      <c r="F5" s="1368"/>
    </row>
    <row r="6" spans="1:7" s="1" customFormat="1" x14ac:dyDescent="0.25">
      <c r="A6" s="1138"/>
      <c r="B6" s="1138"/>
      <c r="C6" s="1138"/>
      <c r="D6" s="1138"/>
      <c r="E6" s="1138"/>
      <c r="F6" s="1139"/>
    </row>
    <row r="8" spans="1:7" s="1" customFormat="1" ht="15.75" thickBot="1" x14ac:dyDescent="0.3">
      <c r="B8" s="1277" t="s">
        <v>952</v>
      </c>
      <c r="C8" s="1277"/>
      <c r="D8" s="1277"/>
      <c r="E8" s="1277"/>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7305.6</v>
      </c>
      <c r="F11" s="1151"/>
      <c r="G11" s="1144"/>
    </row>
    <row r="12" spans="1:7" s="1" customFormat="1" x14ac:dyDescent="0.25">
      <c r="B12" s="1152" t="s">
        <v>102</v>
      </c>
      <c r="C12" s="1153" t="s">
        <v>957</v>
      </c>
      <c r="D12" s="1154" t="s">
        <v>956</v>
      </c>
      <c r="E12" s="1155">
        <v>1025.8</v>
      </c>
      <c r="F12" s="1151"/>
      <c r="G12" s="1144"/>
    </row>
    <row r="13" spans="1:7" s="1" customFormat="1" x14ac:dyDescent="0.25">
      <c r="B13" s="1152" t="s">
        <v>124</v>
      </c>
      <c r="C13" s="1153" t="s">
        <v>958</v>
      </c>
      <c r="D13" s="1153" t="s">
        <v>956</v>
      </c>
      <c r="E13" s="1155">
        <v>946</v>
      </c>
      <c r="F13" s="1151"/>
      <c r="G13" s="1144"/>
    </row>
    <row r="14" spans="1:7" s="1" customFormat="1" x14ac:dyDescent="0.25">
      <c r="B14" s="1152" t="s">
        <v>131</v>
      </c>
      <c r="C14" s="1153" t="s">
        <v>959</v>
      </c>
      <c r="D14" s="1153" t="s">
        <v>956</v>
      </c>
      <c r="E14" s="1155">
        <v>3842</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2205.8000000000002</v>
      </c>
      <c r="F16" s="1156"/>
      <c r="G16" s="1144"/>
    </row>
    <row r="17" spans="2:7" s="1" customFormat="1" x14ac:dyDescent="0.25">
      <c r="B17" s="1157" t="s">
        <v>284</v>
      </c>
      <c r="C17" s="1158" t="s">
        <v>962</v>
      </c>
      <c r="D17" s="1158" t="s">
        <v>963</v>
      </c>
      <c r="E17" s="1159">
        <v>343</v>
      </c>
      <c r="F17" s="1156"/>
      <c r="G17" s="1144"/>
    </row>
    <row r="18" spans="2:7" s="1" customFormat="1" x14ac:dyDescent="0.25">
      <c r="B18" s="1157" t="s">
        <v>604</v>
      </c>
      <c r="C18" s="1158" t="s">
        <v>964</v>
      </c>
      <c r="D18" s="1158" t="s">
        <v>965</v>
      </c>
      <c r="E18" s="1159">
        <v>292</v>
      </c>
      <c r="F18" s="1156"/>
      <c r="G18" s="1144"/>
    </row>
    <row r="19" spans="2:7" s="1" customFormat="1" x14ac:dyDescent="0.25">
      <c r="B19" s="1157" t="s">
        <v>605</v>
      </c>
      <c r="C19" s="1158" t="s">
        <v>966</v>
      </c>
      <c r="D19" s="1158" t="s">
        <v>965</v>
      </c>
      <c r="E19" s="1159">
        <v>55</v>
      </c>
      <c r="F19" s="1156"/>
      <c r="G19" s="1144"/>
    </row>
    <row r="20" spans="2:7" s="1" customFormat="1" x14ac:dyDescent="0.25">
      <c r="B20" s="1157" t="s">
        <v>967</v>
      </c>
      <c r="C20" s="1158" t="s">
        <v>968</v>
      </c>
      <c r="D20" s="1160" t="s">
        <v>965</v>
      </c>
      <c r="E20" s="1159">
        <v>13</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1514.5</v>
      </c>
      <c r="F25" s="1156"/>
      <c r="G25" s="1144"/>
    </row>
    <row r="26" spans="2:7" s="1" customFormat="1" x14ac:dyDescent="0.25">
      <c r="B26" s="1157" t="s">
        <v>977</v>
      </c>
      <c r="C26" s="1158" t="s">
        <v>978</v>
      </c>
      <c r="D26" s="1158" t="s">
        <v>976</v>
      </c>
      <c r="E26" s="1159">
        <v>1514.5</v>
      </c>
      <c r="F26" s="1156"/>
      <c r="G26" s="1144"/>
    </row>
    <row r="27" spans="2:7" s="1" customFormat="1" x14ac:dyDescent="0.25">
      <c r="B27" s="1157" t="s">
        <v>979</v>
      </c>
      <c r="C27" s="1158" t="s">
        <v>980</v>
      </c>
      <c r="D27" s="1158" t="s">
        <v>976</v>
      </c>
      <c r="E27" s="1159">
        <v>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56</v>
      </c>
      <c r="F32" s="1169"/>
      <c r="G32" s="1170"/>
    </row>
    <row r="33" spans="2:7" s="1" customFormat="1" x14ac:dyDescent="0.25">
      <c r="B33" s="1157" t="s">
        <v>141</v>
      </c>
      <c r="C33" s="1171" t="s">
        <v>989</v>
      </c>
      <c r="D33" s="1167" t="s">
        <v>916</v>
      </c>
      <c r="E33" s="1168">
        <v>68</v>
      </c>
      <c r="F33" s="1172"/>
      <c r="G33" s="1173"/>
    </row>
    <row r="34" spans="2:7" s="1" customFormat="1" ht="15.75" thickBot="1" x14ac:dyDescent="0.3">
      <c r="B34" s="1174" t="s">
        <v>302</v>
      </c>
      <c r="C34" s="1175" t="s">
        <v>990</v>
      </c>
      <c r="D34" s="1176" t="s">
        <v>991</v>
      </c>
      <c r="E34" s="1177">
        <v>39.6</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10</v>
      </c>
      <c r="F36" s="1180"/>
      <c r="G36" s="1181"/>
    </row>
    <row r="37" spans="2:7" s="1" customFormat="1" x14ac:dyDescent="0.25">
      <c r="B37" s="1157" t="s">
        <v>410</v>
      </c>
      <c r="C37" s="1171" t="s">
        <v>994</v>
      </c>
      <c r="D37" s="1158" t="s">
        <v>916</v>
      </c>
      <c r="E37" s="1168">
        <v>10</v>
      </c>
      <c r="F37" s="1172"/>
      <c r="G37" s="1172"/>
    </row>
    <row r="38" spans="2:7" s="1" customFormat="1" x14ac:dyDescent="0.25">
      <c r="B38" s="1182" t="s">
        <v>411</v>
      </c>
      <c r="C38" s="1178" t="s">
        <v>995</v>
      </c>
      <c r="D38" s="1153" t="s">
        <v>742</v>
      </c>
      <c r="E38" s="1155">
        <v>314.7</v>
      </c>
      <c r="F38" s="1180"/>
      <c r="G38" s="1183"/>
    </row>
    <row r="39" spans="2:7" s="1" customFormat="1" ht="25.5" x14ac:dyDescent="0.25">
      <c r="B39" s="1184" t="s">
        <v>996</v>
      </c>
      <c r="C39" s="1185" t="s">
        <v>997</v>
      </c>
      <c r="D39" s="1158" t="s">
        <v>742</v>
      </c>
      <c r="E39" s="1159">
        <v>314.7</v>
      </c>
      <c r="F39" s="1359"/>
      <c r="G39" s="1151"/>
    </row>
    <row r="40" spans="2:7" s="1" customFormat="1" x14ac:dyDescent="0.25">
      <c r="B40" s="1184" t="s">
        <v>998</v>
      </c>
      <c r="C40" s="1185" t="s">
        <v>999</v>
      </c>
      <c r="D40" s="1158" t="s">
        <v>742</v>
      </c>
      <c r="E40" s="1159">
        <v>0</v>
      </c>
      <c r="F40" s="1359"/>
      <c r="G40" s="1151"/>
    </row>
    <row r="41" spans="2:7" s="1" customFormat="1" ht="25.5" x14ac:dyDescent="0.25">
      <c r="B41" s="1184" t="s">
        <v>1000</v>
      </c>
      <c r="C41" s="1185" t="s">
        <v>1001</v>
      </c>
      <c r="D41" s="1158" t="s">
        <v>742</v>
      </c>
      <c r="E41" s="1159">
        <v>0</v>
      </c>
      <c r="F41" s="1359"/>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819</v>
      </c>
      <c r="F43" s="1151"/>
      <c r="G43" s="1144"/>
    </row>
    <row r="44" spans="2:7" s="1" customFormat="1" x14ac:dyDescent="0.25">
      <c r="B44" s="1152" t="s">
        <v>160</v>
      </c>
      <c r="C44" s="1178" t="s">
        <v>1005</v>
      </c>
      <c r="D44" s="1153" t="s">
        <v>742</v>
      </c>
      <c r="E44" s="1155">
        <v>0</v>
      </c>
      <c r="F44" s="1151"/>
      <c r="G44" s="1144"/>
    </row>
    <row r="45" spans="2:7" s="1" customFormat="1" x14ac:dyDescent="0.25">
      <c r="B45" s="1157" t="s">
        <v>412</v>
      </c>
      <c r="C45" s="1171" t="s">
        <v>1006</v>
      </c>
      <c r="D45" s="1158" t="s">
        <v>916</v>
      </c>
      <c r="E45" s="1168">
        <v>0</v>
      </c>
      <c r="F45" s="1151"/>
      <c r="G45" s="1151"/>
    </row>
    <row r="46" spans="2:7" s="1" customFormat="1" x14ac:dyDescent="0.25">
      <c r="B46" s="1157" t="s">
        <v>1007</v>
      </c>
      <c r="C46" s="1171" t="s">
        <v>1008</v>
      </c>
      <c r="D46" s="1158" t="s">
        <v>916</v>
      </c>
      <c r="E46" s="1168">
        <v>0</v>
      </c>
      <c r="F46" s="1172"/>
      <c r="G46" s="1172"/>
    </row>
    <row r="47" spans="2:7" s="1" customFormat="1" x14ac:dyDescent="0.25">
      <c r="B47" s="1157" t="s">
        <v>1009</v>
      </c>
      <c r="C47" s="1189" t="s">
        <v>1010</v>
      </c>
      <c r="D47" s="1190" t="s">
        <v>742</v>
      </c>
      <c r="E47" s="1191">
        <v>0</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1</v>
      </c>
      <c r="F50" s="1172"/>
      <c r="G50" s="1172"/>
    </row>
    <row r="51" spans="2:7" s="1" customFormat="1" x14ac:dyDescent="0.25">
      <c r="B51" s="1152" t="s">
        <v>418</v>
      </c>
      <c r="C51" s="1178" t="s">
        <v>1015</v>
      </c>
      <c r="D51" s="1153" t="s">
        <v>916</v>
      </c>
      <c r="E51" s="1179">
        <v>0</v>
      </c>
      <c r="F51" s="1172"/>
      <c r="G51" s="1172"/>
    </row>
    <row r="52" spans="2:7" s="1" customFormat="1" x14ac:dyDescent="0.25">
      <c r="B52" s="1152" t="s">
        <v>419</v>
      </c>
      <c r="C52" s="1178" t="s">
        <v>1016</v>
      </c>
      <c r="D52" s="1153" t="s">
        <v>916</v>
      </c>
      <c r="E52" s="1179">
        <v>0</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39</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44.5</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65</v>
      </c>
      <c r="F58" s="1151"/>
      <c r="G58" s="1151"/>
    </row>
    <row r="59" spans="2:7" s="1" customFormat="1" x14ac:dyDescent="0.25">
      <c r="B59" s="1157" t="s">
        <v>69</v>
      </c>
      <c r="C59" s="1158" t="s">
        <v>1022</v>
      </c>
      <c r="D59" s="1158" t="s">
        <v>916</v>
      </c>
      <c r="E59" s="1168">
        <v>1</v>
      </c>
      <c r="F59" s="1151"/>
      <c r="G59" s="1151"/>
    </row>
    <row r="60" spans="2:7" s="1" customFormat="1" x14ac:dyDescent="0.25">
      <c r="B60" s="1157" t="s">
        <v>71</v>
      </c>
      <c r="C60" s="1158" t="s">
        <v>1023</v>
      </c>
      <c r="D60" s="1158" t="s">
        <v>916</v>
      </c>
      <c r="E60" s="1168">
        <v>3</v>
      </c>
      <c r="F60" s="1151"/>
      <c r="G60" s="1151"/>
    </row>
    <row r="61" spans="2:7" s="1" customFormat="1" x14ac:dyDescent="0.25">
      <c r="B61" s="1152" t="s">
        <v>73</v>
      </c>
      <c r="C61" s="1153" t="s">
        <v>1024</v>
      </c>
      <c r="D61" s="1193" t="s">
        <v>736</v>
      </c>
      <c r="E61" s="1155">
        <v>39.6</v>
      </c>
      <c r="F61" s="1194"/>
      <c r="G61" s="1151"/>
    </row>
    <row r="62" spans="2:7" s="1" customFormat="1" x14ac:dyDescent="0.25">
      <c r="B62" s="1157" t="s">
        <v>75</v>
      </c>
      <c r="C62" s="1158" t="s">
        <v>1025</v>
      </c>
      <c r="D62" s="1195" t="s">
        <v>1026</v>
      </c>
      <c r="E62" s="1196">
        <f>SUM(E63:E64)</f>
        <v>311.2</v>
      </c>
      <c r="F62" s="1192"/>
      <c r="G62" s="1192"/>
    </row>
    <row r="63" spans="2:7" s="1" customFormat="1" x14ac:dyDescent="0.25">
      <c r="B63" s="1197" t="s">
        <v>801</v>
      </c>
      <c r="C63" s="1189" t="s">
        <v>1027</v>
      </c>
      <c r="D63" s="1190" t="s">
        <v>1026</v>
      </c>
      <c r="E63" s="1191">
        <v>8</v>
      </c>
      <c r="F63" s="1192"/>
      <c r="G63" s="1192"/>
    </row>
    <row r="64" spans="2:7" s="1" customFormat="1" x14ac:dyDescent="0.25">
      <c r="B64" s="1197" t="s">
        <v>1028</v>
      </c>
      <c r="C64" s="1189" t="s">
        <v>1029</v>
      </c>
      <c r="D64" s="1190" t="s">
        <v>1026</v>
      </c>
      <c r="E64" s="1191">
        <v>303.2</v>
      </c>
      <c r="F64" s="1151"/>
      <c r="G64" s="1151"/>
    </row>
    <row r="65" spans="2:7" s="1" customFormat="1" x14ac:dyDescent="0.25">
      <c r="B65" s="1157" t="s">
        <v>466</v>
      </c>
      <c r="C65" s="1158" t="s">
        <v>1030</v>
      </c>
      <c r="D65" s="1158" t="s">
        <v>916</v>
      </c>
      <c r="E65" s="1168">
        <v>6643</v>
      </c>
      <c r="F65" s="1151"/>
      <c r="G65" s="1151"/>
    </row>
    <row r="66" spans="2:7" s="1" customFormat="1" x14ac:dyDescent="0.25">
      <c r="B66" s="1157" t="s">
        <v>470</v>
      </c>
      <c r="C66" s="1158" t="s">
        <v>1031</v>
      </c>
      <c r="D66" s="1158" t="s">
        <v>916</v>
      </c>
      <c r="E66" s="1168">
        <v>524</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361</v>
      </c>
      <c r="F68" s="1194"/>
      <c r="G68" s="1151"/>
    </row>
    <row r="69" spans="2:7" s="1" customFormat="1" x14ac:dyDescent="0.25">
      <c r="B69" s="1157" t="s">
        <v>494</v>
      </c>
      <c r="C69" s="1158" t="s">
        <v>1034</v>
      </c>
      <c r="D69" s="1158" t="s">
        <v>916</v>
      </c>
      <c r="E69" s="1198">
        <f>SUM(E70:E72)</f>
        <v>8478</v>
      </c>
      <c r="F69" s="1192"/>
      <c r="G69" s="1192"/>
    </row>
    <row r="70" spans="2:7" s="1" customFormat="1" x14ac:dyDescent="0.25">
      <c r="B70" s="1197" t="s">
        <v>1035</v>
      </c>
      <c r="C70" s="1189" t="s">
        <v>1036</v>
      </c>
      <c r="D70" s="1190" t="s">
        <v>916</v>
      </c>
      <c r="E70" s="1199">
        <v>7769</v>
      </c>
      <c r="F70" s="1192"/>
      <c r="G70" s="1192"/>
    </row>
    <row r="71" spans="2:7" s="1" customFormat="1" x14ac:dyDescent="0.25">
      <c r="B71" s="1197" t="s">
        <v>1037</v>
      </c>
      <c r="C71" s="1189" t="s">
        <v>1038</v>
      </c>
      <c r="D71" s="1190" t="s">
        <v>916</v>
      </c>
      <c r="E71" s="1199">
        <v>8</v>
      </c>
      <c r="F71" s="1192"/>
      <c r="G71" s="1192"/>
    </row>
    <row r="72" spans="2:7" s="1" customFormat="1" x14ac:dyDescent="0.25">
      <c r="B72" s="1197" t="s">
        <v>1039</v>
      </c>
      <c r="C72" s="1189" t="s">
        <v>1040</v>
      </c>
      <c r="D72" s="1190" t="s">
        <v>916</v>
      </c>
      <c r="E72" s="1199">
        <v>701</v>
      </c>
      <c r="F72" s="1151"/>
      <c r="G72" s="1151"/>
    </row>
    <row r="73" spans="2:7" s="1" customFormat="1" x14ac:dyDescent="0.25">
      <c r="B73" s="1157" t="s">
        <v>495</v>
      </c>
      <c r="C73" s="1158" t="s">
        <v>1041</v>
      </c>
      <c r="D73" s="1158" t="s">
        <v>916</v>
      </c>
      <c r="E73" s="1168">
        <v>6878</v>
      </c>
      <c r="F73" s="1151"/>
      <c r="G73" s="1151"/>
    </row>
    <row r="74" spans="2:7" s="1" customFormat="1" ht="15.75" thickBot="1" x14ac:dyDescent="0.3">
      <c r="B74" s="1161" t="s">
        <v>631</v>
      </c>
      <c r="C74" s="1162" t="s">
        <v>1042</v>
      </c>
      <c r="D74" s="1162" t="s">
        <v>916</v>
      </c>
      <c r="E74" s="1200">
        <v>353</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19</v>
      </c>
      <c r="F76" s="1156"/>
      <c r="G76" s="1156"/>
    </row>
    <row r="77" spans="2:7" s="1" customFormat="1" x14ac:dyDescent="0.25">
      <c r="B77" s="1157" t="s">
        <v>171</v>
      </c>
      <c r="C77" s="1158" t="s">
        <v>1045</v>
      </c>
      <c r="D77" s="1158" t="s">
        <v>916</v>
      </c>
      <c r="E77" s="1168">
        <v>71</v>
      </c>
      <c r="F77" s="1156"/>
      <c r="G77" s="1156"/>
    </row>
    <row r="78" spans="2:7" s="1" customFormat="1" x14ac:dyDescent="0.25">
      <c r="B78" s="1157" t="s">
        <v>173</v>
      </c>
      <c r="C78" s="1158" t="s">
        <v>1046</v>
      </c>
      <c r="D78" s="1158" t="s">
        <v>916</v>
      </c>
      <c r="E78" s="1168">
        <v>122</v>
      </c>
      <c r="F78" s="1156"/>
      <c r="G78" s="1156"/>
    </row>
    <row r="79" spans="2:7" s="1" customFormat="1" x14ac:dyDescent="0.25">
      <c r="B79" s="1152" t="s">
        <v>175</v>
      </c>
      <c r="C79" s="1153" t="s">
        <v>1047</v>
      </c>
      <c r="D79" s="1193" t="s">
        <v>736</v>
      </c>
      <c r="E79" s="1155">
        <v>10.199999999999999</v>
      </c>
      <c r="F79" s="1156"/>
      <c r="G79" s="1156"/>
    </row>
    <row r="80" spans="2:7" s="1" customFormat="1" x14ac:dyDescent="0.25">
      <c r="B80" s="1157" t="s">
        <v>177</v>
      </c>
      <c r="C80" s="1158" t="s">
        <v>1048</v>
      </c>
      <c r="D80" s="1158" t="s">
        <v>1026</v>
      </c>
      <c r="E80" s="1159">
        <v>192.8</v>
      </c>
      <c r="F80" s="1202"/>
      <c r="G80" s="1202"/>
    </row>
    <row r="81" spans="2:7" s="1" customFormat="1" x14ac:dyDescent="0.25">
      <c r="B81" s="1197" t="s">
        <v>648</v>
      </c>
      <c r="C81" s="1189" t="s">
        <v>1049</v>
      </c>
      <c r="D81" s="1190" t="s">
        <v>1026</v>
      </c>
      <c r="E81" s="1191">
        <v>29.7</v>
      </c>
      <c r="F81" s="1156"/>
      <c r="G81" s="1156"/>
    </row>
    <row r="82" spans="2:7" s="1" customFormat="1" x14ac:dyDescent="0.25">
      <c r="B82" s="1157" t="s">
        <v>179</v>
      </c>
      <c r="C82" s="1158" t="s">
        <v>1050</v>
      </c>
      <c r="D82" s="1158" t="s">
        <v>916</v>
      </c>
      <c r="E82" s="1168">
        <v>4776</v>
      </c>
      <c r="F82" s="1156"/>
      <c r="G82" s="1156"/>
    </row>
    <row r="83" spans="2:7" s="1" customFormat="1" x14ac:dyDescent="0.25">
      <c r="B83" s="1157" t="s">
        <v>181</v>
      </c>
      <c r="C83" s="1158" t="s">
        <v>1051</v>
      </c>
      <c r="D83" s="1158" t="s">
        <v>916</v>
      </c>
      <c r="E83" s="1198">
        <f>SUM(E84:E86)</f>
        <v>9339</v>
      </c>
      <c r="F83" s="1156"/>
      <c r="G83" s="1156"/>
    </row>
    <row r="84" spans="2:7" s="1" customFormat="1" x14ac:dyDescent="0.25">
      <c r="B84" s="1197" t="s">
        <v>513</v>
      </c>
      <c r="C84" s="1189" t="s">
        <v>1052</v>
      </c>
      <c r="D84" s="1190" t="s">
        <v>916</v>
      </c>
      <c r="E84" s="1199">
        <v>5087</v>
      </c>
      <c r="F84" s="1202"/>
      <c r="G84" s="1202"/>
    </row>
    <row r="85" spans="2:7" s="1" customFormat="1" x14ac:dyDescent="0.25">
      <c r="B85" s="1197" t="s">
        <v>514</v>
      </c>
      <c r="C85" s="1189" t="s">
        <v>1053</v>
      </c>
      <c r="D85" s="1190" t="s">
        <v>916</v>
      </c>
      <c r="E85" s="1199">
        <v>4003</v>
      </c>
      <c r="F85" s="1202"/>
      <c r="G85" s="1202"/>
    </row>
    <row r="86" spans="2:7" s="1" customFormat="1" x14ac:dyDescent="0.25">
      <c r="B86" s="1197" t="s">
        <v>515</v>
      </c>
      <c r="C86" s="1189" t="s">
        <v>1054</v>
      </c>
      <c r="D86" s="1190" t="s">
        <v>916</v>
      </c>
      <c r="E86" s="1199">
        <v>249</v>
      </c>
      <c r="F86" s="1156"/>
      <c r="G86" s="1156"/>
    </row>
    <row r="87" spans="2:7" s="1" customFormat="1" ht="15.75" thickBot="1" x14ac:dyDescent="0.3">
      <c r="B87" s="1161" t="s">
        <v>183</v>
      </c>
      <c r="C87" s="1162" t="s">
        <v>1055</v>
      </c>
      <c r="D87" s="1162" t="s">
        <v>916</v>
      </c>
      <c r="E87" s="1200">
        <v>407</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27</v>
      </c>
      <c r="F89" s="1156"/>
      <c r="G89" s="1156"/>
    </row>
    <row r="90" spans="2:7" s="1" customFormat="1" x14ac:dyDescent="0.25">
      <c r="B90" s="1157" t="s">
        <v>214</v>
      </c>
      <c r="C90" s="1158" t="s">
        <v>1058</v>
      </c>
      <c r="D90" s="1158" t="s">
        <v>916</v>
      </c>
      <c r="E90" s="1168">
        <v>1</v>
      </c>
      <c r="F90" s="1156"/>
      <c r="G90" s="1156"/>
    </row>
    <row r="91" spans="2:7" s="1" customFormat="1" x14ac:dyDescent="0.25">
      <c r="B91" s="1157" t="s">
        <v>222</v>
      </c>
      <c r="C91" s="1158" t="s">
        <v>1059</v>
      </c>
      <c r="D91" s="1158" t="s">
        <v>916</v>
      </c>
      <c r="E91" s="1168">
        <v>2</v>
      </c>
      <c r="F91" s="1156"/>
      <c r="G91" s="1156"/>
    </row>
    <row r="92" spans="2:7" s="1" customFormat="1" x14ac:dyDescent="0.25">
      <c r="B92" s="1157" t="s">
        <v>224</v>
      </c>
      <c r="C92" s="1153" t="s">
        <v>1060</v>
      </c>
      <c r="D92" s="1193" t="s">
        <v>736</v>
      </c>
      <c r="E92" s="1179">
        <v>5</v>
      </c>
      <c r="F92" s="1156"/>
      <c r="G92" s="1156"/>
    </row>
    <row r="93" spans="2:7" s="1" customFormat="1" x14ac:dyDescent="0.25">
      <c r="B93" s="1157" t="s">
        <v>656</v>
      </c>
      <c r="C93" s="1158" t="s">
        <v>1061</v>
      </c>
      <c r="D93" s="1158" t="s">
        <v>1026</v>
      </c>
      <c r="E93" s="1159">
        <v>11.8</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27</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21</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0</v>
      </c>
      <c r="F99" s="1203"/>
      <c r="G99" s="1203"/>
    </row>
    <row r="100" spans="2:7" s="1" customFormat="1" x14ac:dyDescent="0.25">
      <c r="B100" s="1157" t="s">
        <v>85</v>
      </c>
      <c r="C100" s="1206" t="s">
        <v>1068</v>
      </c>
      <c r="D100" s="1158" t="s">
        <v>1069</v>
      </c>
      <c r="E100" s="1168">
        <v>0</v>
      </c>
      <c r="F100" s="1156"/>
      <c r="G100" s="1156"/>
    </row>
    <row r="101" spans="2:7" s="1" customFormat="1" x14ac:dyDescent="0.25">
      <c r="B101" s="1157" t="s">
        <v>1070</v>
      </c>
      <c r="C101" s="1207" t="s">
        <v>1071</v>
      </c>
      <c r="D101" s="1158" t="s">
        <v>742</v>
      </c>
      <c r="E101" s="1159">
        <v>0</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9</v>
      </c>
      <c r="F104" s="1156"/>
      <c r="G104" s="1156"/>
    </row>
    <row r="105" spans="2:7" s="1" customFormat="1" x14ac:dyDescent="0.25">
      <c r="B105" s="1157" t="s">
        <v>1078</v>
      </c>
      <c r="C105" s="1207" t="s">
        <v>1079</v>
      </c>
      <c r="D105" s="1158" t="s">
        <v>742</v>
      </c>
      <c r="E105" s="1159">
        <v>142.4</v>
      </c>
      <c r="F105" s="1203"/>
      <c r="G105" s="1203"/>
    </row>
    <row r="106" spans="2:7" s="1" customFormat="1" x14ac:dyDescent="0.25">
      <c r="B106" s="1157" t="s">
        <v>1080</v>
      </c>
      <c r="C106" s="1206" t="s">
        <v>1081</v>
      </c>
      <c r="D106" s="1158" t="s">
        <v>916</v>
      </c>
      <c r="E106" s="1168">
        <v>2</v>
      </c>
      <c r="F106" s="1208"/>
      <c r="G106" s="1203"/>
    </row>
    <row r="107" spans="2:7" s="1" customFormat="1" x14ac:dyDescent="0.25">
      <c r="B107" s="1157" t="s">
        <v>1082</v>
      </c>
      <c r="C107" s="1207" t="s">
        <v>1083</v>
      </c>
      <c r="D107" s="1158" t="s">
        <v>742</v>
      </c>
      <c r="E107" s="1159">
        <v>918.3</v>
      </c>
      <c r="F107" s="1181"/>
      <c r="G107" s="1181"/>
    </row>
    <row r="108" spans="2:7" s="1" customFormat="1" x14ac:dyDescent="0.25">
      <c r="B108" s="1157" t="s">
        <v>1084</v>
      </c>
      <c r="C108" s="1207" t="s">
        <v>1085</v>
      </c>
      <c r="D108" s="1158" t="s">
        <v>916</v>
      </c>
      <c r="E108" s="1168">
        <v>53</v>
      </c>
      <c r="F108" s="1202"/>
      <c r="G108" s="1202"/>
    </row>
    <row r="109" spans="2:7" s="1" customFormat="1" x14ac:dyDescent="0.25">
      <c r="B109" s="1157" t="s">
        <v>1086</v>
      </c>
      <c r="C109" s="1207" t="s">
        <v>1087</v>
      </c>
      <c r="D109" s="1158" t="s">
        <v>916</v>
      </c>
      <c r="E109" s="1168">
        <v>28</v>
      </c>
      <c r="F109" s="1202"/>
      <c r="G109" s="1202"/>
    </row>
    <row r="110" spans="2:7" s="1" customFormat="1" x14ac:dyDescent="0.25">
      <c r="B110" s="1209" t="s">
        <v>1088</v>
      </c>
      <c r="C110" s="1210" t="s">
        <v>1089</v>
      </c>
      <c r="D110" s="1160" t="s">
        <v>916</v>
      </c>
      <c r="E110" s="1211">
        <v>31</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278.2</v>
      </c>
      <c r="F112" s="1203"/>
      <c r="G112" s="1203"/>
    </row>
    <row r="113" spans="2:7" s="1" customFormat="1" x14ac:dyDescent="0.25">
      <c r="B113" s="1157" t="s">
        <v>1094</v>
      </c>
      <c r="C113" s="1206" t="s">
        <v>1095</v>
      </c>
      <c r="D113" s="1158" t="s">
        <v>965</v>
      </c>
      <c r="E113" s="1159">
        <v>21.5</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72.8</v>
      </c>
      <c r="F115" s="1203"/>
      <c r="G115" s="1203"/>
    </row>
    <row r="116" spans="2:7" s="1" customFormat="1" x14ac:dyDescent="0.25">
      <c r="B116" s="1209" t="s">
        <v>1100</v>
      </c>
      <c r="C116" s="1218" t="s">
        <v>1101</v>
      </c>
      <c r="D116" s="1160" t="s">
        <v>965</v>
      </c>
      <c r="E116" s="1219">
        <v>7.6</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5.3</v>
      </c>
      <c r="F118" s="1203"/>
      <c r="G118" s="1203"/>
    </row>
    <row r="119" spans="2:7" s="1" customFormat="1" x14ac:dyDescent="0.25">
      <c r="B119" s="1157" t="s">
        <v>1106</v>
      </c>
      <c r="C119" s="1206" t="s">
        <v>1095</v>
      </c>
      <c r="D119" s="1158" t="s">
        <v>965</v>
      </c>
      <c r="E119" s="1159">
        <v>15.3</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11.8</v>
      </c>
      <c r="F121" s="1203"/>
      <c r="G121" s="1203"/>
    </row>
    <row r="122" spans="2:7" s="1" customFormat="1" x14ac:dyDescent="0.25">
      <c r="B122" s="1157" t="s">
        <v>1109</v>
      </c>
      <c r="C122" s="1206" t="s">
        <v>1101</v>
      </c>
      <c r="D122" s="1158" t="s">
        <v>965</v>
      </c>
      <c r="E122" s="1159">
        <v>1.5</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289.46502999999996</v>
      </c>
      <c r="F129" s="1156"/>
      <c r="G129" s="1156"/>
    </row>
    <row r="130" spans="2:7" s="1" customFormat="1" ht="15.75" thickBot="1" x14ac:dyDescent="0.3">
      <c r="B130" s="1224" t="s">
        <v>1123</v>
      </c>
      <c r="C130" s="1225" t="s">
        <v>1124</v>
      </c>
      <c r="D130" s="1162" t="s">
        <v>742</v>
      </c>
      <c r="E130" s="1226">
        <f>VAS077_F_Isvalytasbuiti1AtaskaitinisLaikotarpis</f>
        <v>1060.7</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8.5</v>
      </c>
      <c r="F146" s="1201"/>
      <c r="G146" s="1201"/>
    </row>
    <row r="147" spans="2:7" s="1" customFormat="1" x14ac:dyDescent="0.25">
      <c r="B147" s="1157" t="s">
        <v>1147</v>
      </c>
      <c r="C147" s="1234" t="s">
        <v>1148</v>
      </c>
      <c r="D147" s="1235" t="s">
        <v>904</v>
      </c>
      <c r="E147" s="1236">
        <v>0.96</v>
      </c>
      <c r="F147" s="1201"/>
      <c r="G147" s="1201"/>
    </row>
    <row r="148" spans="2:7" s="1" customFormat="1" x14ac:dyDescent="0.25">
      <c r="B148" s="1157" t="s">
        <v>1149</v>
      </c>
      <c r="C148" s="1234" t="s">
        <v>1150</v>
      </c>
      <c r="D148" s="1158" t="s">
        <v>1151</v>
      </c>
      <c r="E148" s="1159">
        <v>338.9</v>
      </c>
      <c r="F148" s="1201"/>
      <c r="G148" s="1201"/>
    </row>
    <row r="149" spans="2:7" s="1" customFormat="1" ht="15.75" thickBot="1" x14ac:dyDescent="0.3">
      <c r="B149" s="1237" t="s">
        <v>1152</v>
      </c>
      <c r="C149" s="1238" t="s">
        <v>1153</v>
      </c>
      <c r="D149" s="1239" t="s">
        <v>916</v>
      </c>
      <c r="E149" s="1240">
        <v>2</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0</v>
      </c>
      <c r="F151" s="1202"/>
      <c r="G151" s="1202"/>
    </row>
    <row r="152" spans="2:7" s="1" customFormat="1" x14ac:dyDescent="0.25">
      <c r="B152" s="1157" t="s">
        <v>1158</v>
      </c>
      <c r="C152" s="1234" t="s">
        <v>1159</v>
      </c>
      <c r="D152" s="1235" t="s">
        <v>904</v>
      </c>
      <c r="E152" s="1236">
        <v>0</v>
      </c>
      <c r="F152" s="1156"/>
      <c r="G152" s="1156"/>
    </row>
    <row r="153" spans="2:7" s="1" customFormat="1" x14ac:dyDescent="0.25">
      <c r="B153" s="1216" t="s">
        <v>1160</v>
      </c>
      <c r="C153" s="1245" t="s">
        <v>1161</v>
      </c>
      <c r="D153" s="1239" t="s">
        <v>1151</v>
      </c>
      <c r="E153" s="1159">
        <v>0</v>
      </c>
      <c r="F153" s="1156"/>
      <c r="G153" s="1156"/>
    </row>
    <row r="154" spans="2:7" s="1" customFormat="1" ht="15.75" thickBot="1" x14ac:dyDescent="0.3">
      <c r="B154" s="1209" t="s">
        <v>1162</v>
      </c>
      <c r="C154" s="1246" t="s">
        <v>1163</v>
      </c>
      <c r="D154" s="1160" t="s">
        <v>916</v>
      </c>
      <c r="E154" s="1211">
        <v>0</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236">
        <v>0</v>
      </c>
      <c r="F158" s="1156"/>
      <c r="G158" s="1156"/>
    </row>
    <row r="159" spans="2:7" s="1" customFormat="1" ht="15.75" thickBot="1" x14ac:dyDescent="0.3">
      <c r="B159" s="1209" t="s">
        <v>1172</v>
      </c>
      <c r="C159" s="1246" t="s">
        <v>1173</v>
      </c>
      <c r="D159" s="1160" t="s">
        <v>916</v>
      </c>
      <c r="E159" s="1276">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236">
        <v>0</v>
      </c>
      <c r="F168" s="1156"/>
      <c r="G168" s="1156"/>
    </row>
    <row r="169" spans="2:7" s="1" customFormat="1" ht="15.75" thickBot="1" x14ac:dyDescent="0.3">
      <c r="B169" s="1209" t="s">
        <v>1193</v>
      </c>
      <c r="C169" s="1246" t="s">
        <v>1194</v>
      </c>
      <c r="D169" s="1160" t="s">
        <v>916</v>
      </c>
      <c r="E169" s="1276">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236">
        <v>0</v>
      </c>
      <c r="F173" s="1156"/>
      <c r="G173" s="1156"/>
    </row>
    <row r="174" spans="2:7" s="1" customFormat="1" x14ac:dyDescent="0.25">
      <c r="B174" s="1157" t="s">
        <v>1203</v>
      </c>
      <c r="C174" s="1255" t="s">
        <v>1204</v>
      </c>
      <c r="D174" s="1239" t="s">
        <v>1151</v>
      </c>
      <c r="E174" s="1236">
        <v>0</v>
      </c>
      <c r="F174" s="1156"/>
      <c r="G174" s="1156"/>
    </row>
    <row r="175" spans="2:7" s="1" customFormat="1" ht="15.75" thickBot="1" x14ac:dyDescent="0.3">
      <c r="B175" s="1209" t="s">
        <v>1205</v>
      </c>
      <c r="C175" s="1246" t="s">
        <v>1153</v>
      </c>
      <c r="D175" s="1160" t="s">
        <v>916</v>
      </c>
      <c r="E175" s="1276">
        <v>0.02</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163">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25</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4</v>
      </c>
      <c r="F187" s="1203"/>
      <c r="G187" s="1203"/>
    </row>
    <row r="188" spans="2:7" s="1" customFormat="1" x14ac:dyDescent="0.25">
      <c r="B188" s="1157" t="s">
        <v>1227</v>
      </c>
      <c r="C188" s="1171" t="s">
        <v>1228</v>
      </c>
      <c r="D188" s="1262" t="s">
        <v>916</v>
      </c>
      <c r="E188" s="1168">
        <v>1</v>
      </c>
      <c r="F188" s="1203"/>
      <c r="G188" s="1203"/>
    </row>
    <row r="189" spans="2:7" s="1" customFormat="1" x14ac:dyDescent="0.25">
      <c r="B189" s="1157" t="s">
        <v>1229</v>
      </c>
      <c r="C189" s="1171" t="s">
        <v>1230</v>
      </c>
      <c r="D189" s="1262" t="s">
        <v>916</v>
      </c>
      <c r="E189" s="1168">
        <v>8</v>
      </c>
      <c r="F189" s="1203"/>
      <c r="G189" s="1203"/>
    </row>
    <row r="190" spans="2:7" s="1" customFormat="1" x14ac:dyDescent="0.25">
      <c r="B190" s="1157" t="s">
        <v>1231</v>
      </c>
      <c r="C190" s="1171" t="s">
        <v>1232</v>
      </c>
      <c r="D190" s="1262" t="s">
        <v>916</v>
      </c>
      <c r="E190" s="1198">
        <f>SUM(E191:E195)</f>
        <v>12</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2</v>
      </c>
      <c r="F193" s="1203"/>
      <c r="G193" s="1203"/>
    </row>
    <row r="194" spans="2:7" s="1" customFormat="1" x14ac:dyDescent="0.25">
      <c r="B194" s="1197" t="s">
        <v>1239</v>
      </c>
      <c r="C194" s="1189" t="s">
        <v>1240</v>
      </c>
      <c r="D194" s="1235" t="s">
        <v>916</v>
      </c>
      <c r="E194" s="1199">
        <v>1</v>
      </c>
      <c r="F194" s="1203"/>
      <c r="G194" s="1203"/>
    </row>
    <row r="195" spans="2:7" s="1" customFormat="1" ht="15.75" thickBot="1" x14ac:dyDescent="0.3">
      <c r="B195" s="1263" t="s">
        <v>1241</v>
      </c>
      <c r="C195" s="1264" t="s">
        <v>1242</v>
      </c>
      <c r="D195" s="1265" t="s">
        <v>916</v>
      </c>
      <c r="E195" s="1266">
        <v>9</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UN07kzAT+RNo/bdoFhGSRzHAGIm6XKAcukfhBRK5ave9Fqf8MwO1ouINPwwv476L6zaZWR8AmHjF3Mogti6ISw==" saltValue="kQgyMikvgMDKe3Z7Y4jMqH57xsQkGDuWPD8Ldp89lbXqdMSomf2bINgnQIO4vsp6x3+gzjFotPEuCVDQB4NT6w=="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6" zoomScale="93" zoomScaleNormal="93" workbookViewId="0">
      <selection activeCell="D17" sqref="D17"/>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90" t="s">
        <v>0</v>
      </c>
      <c r="B1" s="1291"/>
      <c r="C1" s="1291"/>
      <c r="D1" s="1292"/>
    </row>
    <row r="2" spans="1:4" s="1" customFormat="1" x14ac:dyDescent="0.25">
      <c r="A2" s="1290" t="s">
        <v>1</v>
      </c>
      <c r="B2" s="1291"/>
      <c r="C2" s="1291"/>
      <c r="D2" s="1292"/>
    </row>
    <row r="3" spans="1:4" s="1" customFormat="1" x14ac:dyDescent="0.25">
      <c r="A3" s="1293"/>
      <c r="B3" s="1294"/>
      <c r="C3" s="1294"/>
      <c r="D3" s="1295"/>
    </row>
    <row r="4" spans="1:4" s="1" customFormat="1" x14ac:dyDescent="0.25">
      <c r="A4" s="32"/>
      <c r="B4" s="32"/>
      <c r="C4" s="32"/>
      <c r="D4" s="32"/>
    </row>
    <row r="5" spans="1:4" s="1" customFormat="1" x14ac:dyDescent="0.25">
      <c r="A5" s="1296" t="s">
        <v>44</v>
      </c>
      <c r="B5" s="1297"/>
      <c r="C5" s="1297"/>
      <c r="D5" s="1298"/>
    </row>
    <row r="6" spans="1:4" s="1" customFormat="1" x14ac:dyDescent="0.25">
      <c r="A6" s="1288" t="s">
        <v>45</v>
      </c>
      <c r="B6" s="1289"/>
      <c r="C6" s="1289"/>
      <c r="D6" s="1289"/>
    </row>
    <row r="7" spans="1:4" s="1" customFormat="1" x14ac:dyDescent="0.25">
      <c r="A7" s="1289"/>
      <c r="B7" s="1289"/>
      <c r="C7" s="1289"/>
      <c r="D7" s="1289"/>
    </row>
    <row r="8" spans="1:4" s="1" customFormat="1" x14ac:dyDescent="0.25">
      <c r="A8" s="32"/>
      <c r="B8" s="32"/>
      <c r="C8" s="32"/>
      <c r="D8" s="32"/>
    </row>
    <row r="9" spans="1:4" s="1" customFormat="1" ht="48.75" customHeight="1" thickBot="1" x14ac:dyDescent="0.3">
      <c r="B9" s="1287" t="s">
        <v>46</v>
      </c>
      <c r="C9" s="1287"/>
      <c r="D9" s="1287"/>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24376.95</v>
      </c>
    </row>
    <row r="13" spans="1:4" s="1" customFormat="1" x14ac:dyDescent="0.25">
      <c r="B13" s="39" t="s">
        <v>53</v>
      </c>
      <c r="C13" s="39" t="s">
        <v>54</v>
      </c>
      <c r="D13" s="38">
        <v>406.07</v>
      </c>
    </row>
    <row r="14" spans="1:4" s="1" customFormat="1" ht="17.25" customHeight="1" x14ac:dyDescent="0.25">
      <c r="B14" s="39" t="s">
        <v>55</v>
      </c>
      <c r="C14" s="39" t="s">
        <v>56</v>
      </c>
      <c r="D14" s="38">
        <v>184.49</v>
      </c>
    </row>
    <row r="15" spans="1:4" s="1" customFormat="1" x14ac:dyDescent="0.25">
      <c r="B15" s="39" t="s">
        <v>57</v>
      </c>
      <c r="C15" s="39" t="s">
        <v>58</v>
      </c>
      <c r="D15" s="38">
        <v>174.62062</v>
      </c>
    </row>
    <row r="16" spans="1:4" s="1" customFormat="1" ht="20.25" customHeight="1" thickBot="1" x14ac:dyDescent="0.3">
      <c r="B16" s="40" t="s">
        <v>59</v>
      </c>
      <c r="C16" s="40" t="s">
        <v>60</v>
      </c>
      <c r="D16" s="38">
        <v>1.4892000000000001</v>
      </c>
    </row>
    <row r="17" spans="2:5" s="1" customFormat="1" ht="16.5" thickTop="1" thickBot="1" x14ac:dyDescent="0.3">
      <c r="B17" s="41"/>
      <c r="C17" s="41" t="s">
        <v>61</v>
      </c>
      <c r="D17" s="42">
        <f>SUM(D12:D13,D16)</f>
        <v>24784.5092</v>
      </c>
      <c r="E17" s="43"/>
    </row>
    <row r="18" spans="2:5" s="1" customFormat="1" ht="15.75" thickBot="1" x14ac:dyDescent="0.3">
      <c r="B18" s="33"/>
      <c r="C18" s="33" t="s">
        <v>62</v>
      </c>
      <c r="D18" s="44"/>
    </row>
    <row r="19" spans="2:5" s="1" customFormat="1" x14ac:dyDescent="0.25">
      <c r="B19" s="37" t="s">
        <v>63</v>
      </c>
      <c r="C19" s="37" t="s">
        <v>64</v>
      </c>
      <c r="D19" s="38">
        <v>2433.48</v>
      </c>
    </row>
    <row r="20" spans="2:5" s="1" customFormat="1" x14ac:dyDescent="0.25">
      <c r="B20" s="39" t="s">
        <v>65</v>
      </c>
      <c r="C20" s="39" t="s">
        <v>66</v>
      </c>
      <c r="D20" s="38">
        <v>3207.0578399999999</v>
      </c>
    </row>
    <row r="21" spans="2:5" s="1" customFormat="1" ht="21" customHeight="1" x14ac:dyDescent="0.25">
      <c r="B21" s="39" t="s">
        <v>67</v>
      </c>
      <c r="C21" s="39" t="s">
        <v>68</v>
      </c>
      <c r="D21" s="38">
        <v>3207.0578399999999</v>
      </c>
    </row>
    <row r="22" spans="2:5" s="1" customFormat="1" x14ac:dyDescent="0.25">
      <c r="B22" s="39" t="s">
        <v>69</v>
      </c>
      <c r="C22" s="39" t="s">
        <v>70</v>
      </c>
      <c r="D22" s="38">
        <v>1.83E-3</v>
      </c>
    </row>
    <row r="23" spans="2:5" s="1" customFormat="1" x14ac:dyDescent="0.25">
      <c r="B23" s="39" t="s">
        <v>71</v>
      </c>
      <c r="C23" s="39" t="s">
        <v>72</v>
      </c>
      <c r="D23" s="38">
        <v>0</v>
      </c>
    </row>
    <row r="24" spans="2:5" s="1" customFormat="1" x14ac:dyDescent="0.25">
      <c r="B24" s="39" t="s">
        <v>73</v>
      </c>
      <c r="C24" s="39" t="s">
        <v>74</v>
      </c>
      <c r="D24" s="38">
        <v>58.449249999999999</v>
      </c>
    </row>
    <row r="25" spans="2:5" s="1" customFormat="1" x14ac:dyDescent="0.25">
      <c r="B25" s="39" t="s">
        <v>75</v>
      </c>
      <c r="C25" s="39" t="s">
        <v>76</v>
      </c>
      <c r="D25" s="38">
        <v>-832.03</v>
      </c>
    </row>
    <row r="26" spans="2:5" s="1" customFormat="1" x14ac:dyDescent="0.25">
      <c r="B26" s="39" t="s">
        <v>77</v>
      </c>
      <c r="C26" s="39" t="s">
        <v>78</v>
      </c>
      <c r="D26" s="38">
        <v>21745.439719999998</v>
      </c>
    </row>
    <row r="27" spans="2:5" s="1" customFormat="1" x14ac:dyDescent="0.25">
      <c r="B27" s="39" t="s">
        <v>79</v>
      </c>
      <c r="C27" s="39" t="s">
        <v>80</v>
      </c>
      <c r="D27" s="38">
        <v>0</v>
      </c>
    </row>
    <row r="28" spans="2:5" s="1" customFormat="1" ht="16.5" customHeight="1" x14ac:dyDescent="0.25">
      <c r="B28" s="39" t="s">
        <v>81</v>
      </c>
      <c r="C28" s="39" t="s">
        <v>82</v>
      </c>
      <c r="D28" s="38">
        <v>605.59</v>
      </c>
    </row>
    <row r="29" spans="2:5" s="1" customFormat="1" ht="25.5" customHeight="1" x14ac:dyDescent="0.25">
      <c r="B29" s="39" t="s">
        <v>83</v>
      </c>
      <c r="C29" s="39" t="s">
        <v>84</v>
      </c>
      <c r="D29" s="38">
        <v>18.940000000000001</v>
      </c>
    </row>
    <row r="30" spans="2:5" s="1" customFormat="1" ht="26.25" customHeight="1" x14ac:dyDescent="0.25">
      <c r="B30" s="39" t="s">
        <v>85</v>
      </c>
      <c r="C30" s="39" t="s">
        <v>86</v>
      </c>
      <c r="D30" s="38">
        <v>586.65</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24784.509719999998</v>
      </c>
      <c r="E32" s="43"/>
    </row>
  </sheetData>
  <sheetProtection algorithmName="SHA-512" hashValue="C2N9RZklPMdAwBdTSmy66aVqFaRo4M1KKyFqdCiot3Kd+6C7FElB3gIjX7tf1ihF4exZaKcmlextx7bKUSG56w==" saltValue="fgNed+je/JgxFP8eeVjmRXvImyduKGVKyGTr7cKJD+45pUQeEsUDfYGdN53mD2jiZTE5XTQ5wvaLwjFW0/HZbQ==" spinCount="100000" sheet="1" objects="1" scenarios="1"/>
  <mergeCells count="7">
    <mergeCell ref="B9:D9"/>
    <mergeCell ref="A6:D6"/>
    <mergeCell ref="A7:D7"/>
    <mergeCell ref="A1:D1"/>
    <mergeCell ref="A2:D2"/>
    <mergeCell ref="A3:D3"/>
    <mergeCell ref="A5:D5"/>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9"/>
  <sheetViews>
    <sheetView topLeftCell="A31" zoomScale="112" zoomScaleNormal="112" workbookViewId="0">
      <selection activeCell="D54" sqref="D54"/>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9" t="s">
        <v>0</v>
      </c>
      <c r="B1" s="1300"/>
      <c r="C1" s="1300"/>
      <c r="D1" s="1300"/>
      <c r="E1" s="1300"/>
      <c r="F1" s="1300"/>
      <c r="G1" s="1300"/>
      <c r="H1" s="1300"/>
      <c r="I1" s="1300"/>
      <c r="J1" s="1300"/>
      <c r="K1" s="1300"/>
      <c r="L1" s="1301"/>
    </row>
    <row r="2" spans="1:12" s="1" customFormat="1" x14ac:dyDescent="0.25">
      <c r="A2" s="1299" t="s">
        <v>1</v>
      </c>
      <c r="B2" s="1300"/>
      <c r="C2" s="1300"/>
      <c r="D2" s="1300"/>
      <c r="E2" s="1300"/>
      <c r="F2" s="1300"/>
      <c r="G2" s="1300"/>
      <c r="H2" s="1300"/>
      <c r="I2" s="1300"/>
      <c r="J2" s="1300"/>
      <c r="K2" s="1300"/>
      <c r="L2" s="1301"/>
    </row>
    <row r="3" spans="1:12" s="1" customFormat="1" x14ac:dyDescent="0.25">
      <c r="A3" s="1302"/>
      <c r="B3" s="1303"/>
      <c r="C3" s="1303"/>
      <c r="D3" s="1303"/>
      <c r="E3" s="1303"/>
      <c r="F3" s="1303"/>
      <c r="G3" s="1303"/>
      <c r="H3" s="1303"/>
      <c r="I3" s="1303"/>
      <c r="J3" s="1303"/>
      <c r="K3" s="1303"/>
      <c r="L3" s="1304"/>
    </row>
    <row r="4" spans="1:12" s="1" customFormat="1" x14ac:dyDescent="0.25">
      <c r="A4" s="47"/>
      <c r="B4" s="47"/>
      <c r="C4" s="47"/>
      <c r="D4" s="47"/>
      <c r="E4" s="47"/>
      <c r="F4" s="47"/>
      <c r="G4" s="48"/>
      <c r="H4" s="48"/>
      <c r="I4" s="47"/>
      <c r="J4" s="47"/>
      <c r="K4" s="47"/>
      <c r="L4" s="47"/>
    </row>
    <row r="5" spans="1:12" s="1" customFormat="1" x14ac:dyDescent="0.25">
      <c r="A5" s="1305" t="s">
        <v>90</v>
      </c>
      <c r="B5" s="1306"/>
      <c r="C5" s="1306"/>
      <c r="D5" s="1306"/>
      <c r="E5" s="1306"/>
      <c r="F5" s="1306"/>
      <c r="G5" s="1306"/>
      <c r="H5" s="1306"/>
      <c r="I5" s="1306"/>
      <c r="J5" s="1306"/>
      <c r="K5" s="1306"/>
      <c r="L5" s="1307"/>
    </row>
    <row r="6" spans="1:12" s="1" customFormat="1" x14ac:dyDescent="0.25">
      <c r="A6" s="47"/>
      <c r="B6" s="47"/>
      <c r="C6" s="47"/>
      <c r="D6" s="47"/>
      <c r="E6" s="47"/>
      <c r="F6" s="47"/>
      <c r="G6" s="48"/>
      <c r="H6" s="48"/>
      <c r="I6" s="47"/>
      <c r="J6" s="47"/>
      <c r="K6" s="47"/>
      <c r="L6" s="47"/>
    </row>
    <row r="8" spans="1:12" s="1" customFormat="1" ht="19.5" customHeight="1" thickBot="1" x14ac:dyDescent="0.3">
      <c r="B8" s="1277" t="s">
        <v>91</v>
      </c>
      <c r="C8" s="1277"/>
      <c r="D8" s="1277"/>
      <c r="E8" s="1277"/>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1346.1284400000002</v>
      </c>
      <c r="E11" s="58"/>
      <c r="I11" s="59"/>
    </row>
    <row r="12" spans="1:12" s="1" customFormat="1" x14ac:dyDescent="0.25">
      <c r="B12" s="60" t="s">
        <v>96</v>
      </c>
      <c r="C12" s="61" t="s">
        <v>97</v>
      </c>
      <c r="D12" s="62">
        <f>SUM(D13:D14)</f>
        <v>534.7704</v>
      </c>
      <c r="E12" s="63"/>
    </row>
    <row r="13" spans="1:12" s="1" customFormat="1" x14ac:dyDescent="0.25">
      <c r="B13" s="64" t="s">
        <v>98</v>
      </c>
      <c r="C13" s="65" t="s">
        <v>99</v>
      </c>
      <c r="D13" s="66">
        <v>534.7704</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616.05286000000001</v>
      </c>
      <c r="E15" s="63"/>
    </row>
    <row r="16" spans="1:12" s="1" customFormat="1" ht="17.25" customHeight="1" x14ac:dyDescent="0.25">
      <c r="B16" s="72" t="s">
        <v>104</v>
      </c>
      <c r="C16" s="73" t="s">
        <v>105</v>
      </c>
      <c r="D16" s="74">
        <f>IFERROR(SUM(D17:D18)+D28*(D45/D44), 0)</f>
        <v>273.69443999999999</v>
      </c>
      <c r="E16" s="67"/>
    </row>
    <row r="17" spans="2:12" s="1" customFormat="1" x14ac:dyDescent="0.25">
      <c r="B17" s="64" t="s">
        <v>106</v>
      </c>
      <c r="C17" s="65" t="s">
        <v>107</v>
      </c>
      <c r="D17" s="66">
        <v>273.69443999999999</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301.09883000000002</v>
      </c>
      <c r="E19" s="67"/>
    </row>
    <row r="20" spans="2:12" s="1" customFormat="1" x14ac:dyDescent="0.25">
      <c r="B20" s="64" t="s">
        <v>112</v>
      </c>
      <c r="C20" s="65" t="s">
        <v>113</v>
      </c>
      <c r="D20" s="66">
        <v>301.09883000000002</v>
      </c>
      <c r="E20" s="67"/>
    </row>
    <row r="21" spans="2:12" s="1" customFormat="1" x14ac:dyDescent="0.25">
      <c r="B21" s="64" t="s">
        <v>114</v>
      </c>
      <c r="C21" s="65" t="s">
        <v>115</v>
      </c>
      <c r="D21" s="66">
        <v>0</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41.259590000000003</v>
      </c>
      <c r="E23" s="67"/>
    </row>
    <row r="24" spans="2:12" s="1" customFormat="1" x14ac:dyDescent="0.25">
      <c r="B24" s="64" t="s">
        <v>119</v>
      </c>
      <c r="C24" s="65" t="s">
        <v>120</v>
      </c>
      <c r="D24" s="66">
        <v>41.259590000000003</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195.30518000000001</v>
      </c>
      <c r="E31" s="63"/>
    </row>
    <row r="32" spans="2:12" s="1" customFormat="1" ht="24" x14ac:dyDescent="0.25">
      <c r="B32" s="64" t="s">
        <v>133</v>
      </c>
      <c r="C32" s="65" t="s">
        <v>134</v>
      </c>
      <c r="D32" s="66">
        <v>195.30518000000001</v>
      </c>
      <c r="E32" s="67"/>
    </row>
    <row r="33" spans="2:9" s="1" customFormat="1" ht="15.75" thickBot="1" x14ac:dyDescent="0.3">
      <c r="B33" s="68" t="s">
        <v>135</v>
      </c>
      <c r="C33" s="69" t="s">
        <v>101</v>
      </c>
      <c r="D33" s="70">
        <v>0</v>
      </c>
      <c r="E33" s="71"/>
    </row>
    <row r="34" spans="2:9" s="1" customFormat="1" x14ac:dyDescent="0.25">
      <c r="B34" s="60" t="s">
        <v>53</v>
      </c>
      <c r="C34" s="76" t="s">
        <v>136</v>
      </c>
      <c r="D34" s="62">
        <f>D35+D38</f>
        <v>155.17937000000001</v>
      </c>
      <c r="E34" s="63"/>
    </row>
    <row r="35" spans="2:9" s="1" customFormat="1" x14ac:dyDescent="0.25">
      <c r="B35" s="72" t="s">
        <v>55</v>
      </c>
      <c r="C35" s="73" t="s">
        <v>137</v>
      </c>
      <c r="D35" s="74">
        <f>SUM(D36:D37)</f>
        <v>0</v>
      </c>
      <c r="E35" s="67"/>
    </row>
    <row r="36" spans="2:9" s="1" customFormat="1" x14ac:dyDescent="0.25">
      <c r="B36" s="64" t="s">
        <v>138</v>
      </c>
      <c r="C36" s="65" t="s">
        <v>139</v>
      </c>
      <c r="D36" s="66">
        <v>0</v>
      </c>
      <c r="E36" s="67"/>
    </row>
    <row r="37" spans="2:9" s="1" customFormat="1" x14ac:dyDescent="0.25">
      <c r="B37" s="64" t="s">
        <v>140</v>
      </c>
      <c r="C37" s="65" t="s">
        <v>101</v>
      </c>
      <c r="D37" s="66">
        <v>0</v>
      </c>
      <c r="E37" s="67"/>
    </row>
    <row r="38" spans="2:9" s="1" customFormat="1" x14ac:dyDescent="0.25">
      <c r="B38" s="72" t="s">
        <v>141</v>
      </c>
      <c r="C38" s="73" t="s">
        <v>142</v>
      </c>
      <c r="D38" s="74">
        <f>SUM(D39:D40)</f>
        <v>155.17937000000001</v>
      </c>
      <c r="E38" s="67"/>
    </row>
    <row r="39" spans="2:9" s="1" customFormat="1" x14ac:dyDescent="0.25">
      <c r="B39" s="64" t="s">
        <v>143</v>
      </c>
      <c r="C39" s="65" t="s">
        <v>144</v>
      </c>
      <c r="D39" s="77">
        <v>155.17937000000001</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1473.3888122827348</v>
      </c>
      <c r="E41" s="81" t="s">
        <v>148</v>
      </c>
      <c r="F41" s="82"/>
      <c r="I41" s="59"/>
    </row>
    <row r="42" spans="2:9" s="1" customFormat="1" ht="24" x14ac:dyDescent="0.25">
      <c r="B42" s="60" t="s">
        <v>59</v>
      </c>
      <c r="C42" s="76" t="s">
        <v>149</v>
      </c>
      <c r="D42" s="83">
        <f>D43+D44+D48+D49</f>
        <v>1442.0345568892783</v>
      </c>
      <c r="E42" s="63" t="s">
        <v>148</v>
      </c>
      <c r="F42" s="82"/>
      <c r="I42" s="59"/>
    </row>
    <row r="43" spans="2:9" s="1" customFormat="1" x14ac:dyDescent="0.25">
      <c r="B43" s="64" t="s">
        <v>150</v>
      </c>
      <c r="C43" s="84" t="s">
        <v>151</v>
      </c>
      <c r="D43" s="85">
        <f>VAS073_F_Visospaskirsto13IsViso</f>
        <v>537.28273150026564</v>
      </c>
      <c r="E43" s="67" t="s">
        <v>148</v>
      </c>
    </row>
    <row r="44" spans="2:9" s="1" customFormat="1" x14ac:dyDescent="0.25">
      <c r="B44" s="64" t="s">
        <v>152</v>
      </c>
      <c r="C44" s="84" t="s">
        <v>153</v>
      </c>
      <c r="D44" s="85">
        <f>VAS073_F_Visospaskirsto14IsViso</f>
        <v>723.41674521039181</v>
      </c>
      <c r="E44" s="67" t="s">
        <v>148</v>
      </c>
    </row>
    <row r="45" spans="2:9" s="2" customFormat="1" x14ac:dyDescent="0.25">
      <c r="B45" s="86" t="s">
        <v>154</v>
      </c>
      <c r="C45" s="87" t="s">
        <v>155</v>
      </c>
      <c r="D45" s="88">
        <f>VAS073_F_Visospaskirsto141NuotekuSurinkimas</f>
        <v>319.47715185450164</v>
      </c>
      <c r="E45" s="89" t="s">
        <v>148</v>
      </c>
      <c r="G45" s="90"/>
      <c r="H45" s="90"/>
    </row>
    <row r="46" spans="2:9" s="2" customFormat="1" x14ac:dyDescent="0.25">
      <c r="B46" s="86" t="s">
        <v>156</v>
      </c>
      <c r="C46" s="87" t="s">
        <v>157</v>
      </c>
      <c r="D46" s="88">
        <f>VAS073_F_Visospaskirsto142NuotekuValymas</f>
        <v>353.38793999302936</v>
      </c>
      <c r="E46" s="89" t="s">
        <v>148</v>
      </c>
      <c r="G46" s="90"/>
      <c r="H46" s="90"/>
    </row>
    <row r="47" spans="2:9" s="2" customFormat="1" x14ac:dyDescent="0.25">
      <c r="B47" s="86" t="s">
        <v>158</v>
      </c>
      <c r="C47" s="87" t="s">
        <v>159</v>
      </c>
      <c r="D47" s="88">
        <f>VAS073_F_Visospaskirsto143NuotekuDumblo</f>
        <v>50.55165336286084</v>
      </c>
      <c r="E47" s="89" t="s">
        <v>148</v>
      </c>
      <c r="G47" s="90"/>
      <c r="H47" s="90"/>
    </row>
    <row r="48" spans="2:9" s="1" customFormat="1" x14ac:dyDescent="0.25">
      <c r="B48" s="68" t="s">
        <v>160</v>
      </c>
      <c r="C48" s="84" t="s">
        <v>161</v>
      </c>
      <c r="D48" s="85">
        <f>VAS073_F_Visospaskirsto15PavirsiniuNuoteku</f>
        <v>20.671669868080581</v>
      </c>
      <c r="E48" s="67" t="s">
        <v>148</v>
      </c>
    </row>
    <row r="49" spans="2:9" s="1" customFormat="1" ht="15.75" thickBot="1" x14ac:dyDescent="0.3">
      <c r="B49" s="68" t="s">
        <v>162</v>
      </c>
      <c r="C49" s="91" t="s">
        <v>163</v>
      </c>
      <c r="D49" s="92">
        <f>VAS073_F_Visospaskirsto12ApskaitosVeikla</f>
        <v>160.66341031054023</v>
      </c>
      <c r="E49" s="71" t="s">
        <v>148</v>
      </c>
    </row>
    <row r="50" spans="2:9" s="1" customFormat="1" x14ac:dyDescent="0.25">
      <c r="B50" s="60" t="s">
        <v>63</v>
      </c>
      <c r="C50" s="76" t="s">
        <v>164</v>
      </c>
      <c r="D50" s="83">
        <f>SUM(D51:D52)</f>
        <v>31.35425539345642</v>
      </c>
      <c r="E50" s="63" t="s">
        <v>148</v>
      </c>
      <c r="I50" s="59"/>
    </row>
    <row r="51" spans="2:9" s="1" customFormat="1" x14ac:dyDescent="0.25">
      <c r="B51" s="64" t="s">
        <v>65</v>
      </c>
      <c r="C51" s="84" t="s">
        <v>165</v>
      </c>
      <c r="D51" s="85">
        <f>VAS073_F_Visospaskirsto16KitosReguliuojamosios</f>
        <v>0</v>
      </c>
      <c r="E51" s="67" t="s">
        <v>148</v>
      </c>
      <c r="G51" s="93"/>
      <c r="H51" s="93"/>
    </row>
    <row r="52" spans="2:9" s="1" customFormat="1" ht="15.75" thickBot="1" x14ac:dyDescent="0.3">
      <c r="B52" s="68" t="s">
        <v>69</v>
      </c>
      <c r="C52" s="91" t="s">
        <v>166</v>
      </c>
      <c r="D52" s="92">
        <f>VAS073_F_Visospaskirsto17KitosVeiklos</f>
        <v>31.35425539345642</v>
      </c>
      <c r="E52" s="71" t="s">
        <v>148</v>
      </c>
    </row>
    <row r="53" spans="2:9" s="1" customFormat="1" x14ac:dyDescent="0.25">
      <c r="B53" s="60" t="s">
        <v>167</v>
      </c>
      <c r="C53" s="94" t="s">
        <v>168</v>
      </c>
      <c r="D53" s="83">
        <f>SUM(D54:D73)</f>
        <v>642.24</v>
      </c>
      <c r="E53" s="63"/>
      <c r="I53" s="59"/>
    </row>
    <row r="54" spans="2:9" s="1" customFormat="1" x14ac:dyDescent="0.25">
      <c r="B54" s="95" t="s">
        <v>169</v>
      </c>
      <c r="C54" s="96" t="s">
        <v>170</v>
      </c>
      <c r="D54" s="97">
        <v>3.99</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1.85</v>
      </c>
      <c r="E57" s="98"/>
    </row>
    <row r="58" spans="2:9" s="1" customFormat="1" x14ac:dyDescent="0.25">
      <c r="B58" s="99" t="s">
        <v>177</v>
      </c>
      <c r="C58" s="96" t="s">
        <v>178</v>
      </c>
      <c r="D58" s="97">
        <v>8.41</v>
      </c>
      <c r="E58" s="98"/>
    </row>
    <row r="59" spans="2:9" s="1" customFormat="1" ht="26.25" x14ac:dyDescent="0.25">
      <c r="B59" s="99" t="s">
        <v>179</v>
      </c>
      <c r="C59" s="96" t="s">
        <v>180</v>
      </c>
      <c r="D59" s="97">
        <v>0</v>
      </c>
      <c r="E59" s="98"/>
    </row>
    <row r="60" spans="2:9" s="1" customFormat="1" ht="26.25" x14ac:dyDescent="0.25">
      <c r="B60" s="99" t="s">
        <v>181</v>
      </c>
      <c r="C60" s="96" t="s">
        <v>182</v>
      </c>
      <c r="D60" s="97">
        <v>0.98</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598.62</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0</v>
      </c>
      <c r="E68" s="104"/>
    </row>
    <row r="69" spans="2:9" s="1" customFormat="1" ht="39" x14ac:dyDescent="0.25">
      <c r="B69" s="103" t="s">
        <v>199</v>
      </c>
      <c r="C69" s="96" t="s">
        <v>200</v>
      </c>
      <c r="D69" s="97">
        <v>18.350000000000001</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0.05</v>
      </c>
      <c r="E72" s="104"/>
    </row>
    <row r="73" spans="2:9" s="1" customFormat="1" ht="27" thickBot="1" x14ac:dyDescent="0.3">
      <c r="B73" s="105" t="s">
        <v>207</v>
      </c>
      <c r="C73" s="106" t="s">
        <v>208</v>
      </c>
      <c r="D73" s="97">
        <v>9.99</v>
      </c>
      <c r="E73" s="107"/>
    </row>
    <row r="74" spans="2:9" s="1" customFormat="1" ht="15.75" thickBot="1" x14ac:dyDescent="0.3">
      <c r="B74" s="78" t="s">
        <v>209</v>
      </c>
      <c r="C74" s="108" t="s">
        <v>210</v>
      </c>
      <c r="D74" s="109">
        <v>-15.87</v>
      </c>
      <c r="E74" s="81"/>
      <c r="I74" s="59"/>
    </row>
    <row r="75" spans="2:9" s="1" customFormat="1" ht="24" x14ac:dyDescent="0.25">
      <c r="B75" s="110" t="s">
        <v>79</v>
      </c>
      <c r="C75" s="111" t="s">
        <v>211</v>
      </c>
      <c r="D75" s="112">
        <f>D11-D42</f>
        <v>-95.90611688927811</v>
      </c>
      <c r="E75" s="113"/>
      <c r="I75" s="59"/>
    </row>
    <row r="76" spans="2:9" s="1" customFormat="1" x14ac:dyDescent="0.25">
      <c r="B76" s="64" t="s">
        <v>212</v>
      </c>
      <c r="C76" s="84" t="s">
        <v>213</v>
      </c>
      <c r="D76" s="85">
        <f>D12-D43</f>
        <v>-2.5123315002656454</v>
      </c>
      <c r="E76" s="67"/>
    </row>
    <row r="77" spans="2:9" s="1" customFormat="1" x14ac:dyDescent="0.25">
      <c r="B77" s="64" t="s">
        <v>214</v>
      </c>
      <c r="C77" s="84" t="s">
        <v>215</v>
      </c>
      <c r="D77" s="85">
        <f>D15-D44</f>
        <v>-107.3638852103918</v>
      </c>
      <c r="E77" s="67"/>
    </row>
    <row r="78" spans="2:9" s="1" customFormat="1" x14ac:dyDescent="0.25">
      <c r="B78" s="64" t="s">
        <v>216</v>
      </c>
      <c r="C78" s="84" t="s">
        <v>217</v>
      </c>
      <c r="D78" s="85">
        <f>D16-D45</f>
        <v>-45.782711854501656</v>
      </c>
      <c r="E78" s="67"/>
    </row>
    <row r="79" spans="2:9" s="1" customFormat="1" x14ac:dyDescent="0.25">
      <c r="B79" s="64" t="s">
        <v>218</v>
      </c>
      <c r="C79" s="84" t="s">
        <v>219</v>
      </c>
      <c r="D79" s="85">
        <f>D19-D46</f>
        <v>-52.289109993029342</v>
      </c>
      <c r="E79" s="67"/>
    </row>
    <row r="80" spans="2:9" s="1" customFormat="1" x14ac:dyDescent="0.25">
      <c r="B80" s="64" t="s">
        <v>220</v>
      </c>
      <c r="C80" s="84" t="s">
        <v>221</v>
      </c>
      <c r="D80" s="85">
        <f>D23-D47</f>
        <v>-9.2920633628608371</v>
      </c>
      <c r="E80" s="67"/>
    </row>
    <row r="81" spans="2:9" s="1" customFormat="1" ht="24" x14ac:dyDescent="0.25">
      <c r="B81" s="68" t="s">
        <v>222</v>
      </c>
      <c r="C81" s="84" t="s">
        <v>223</v>
      </c>
      <c r="D81" s="85">
        <f>D27-D48</f>
        <v>-20.671669868080581</v>
      </c>
      <c r="E81" s="67"/>
    </row>
    <row r="82" spans="2:9" s="1" customFormat="1" ht="15.75" thickBot="1" x14ac:dyDescent="0.3">
      <c r="B82" s="68" t="s">
        <v>224</v>
      </c>
      <c r="C82" s="91" t="s">
        <v>225</v>
      </c>
      <c r="D82" s="85">
        <f>D31-D49</f>
        <v>34.641769689459778</v>
      </c>
      <c r="E82" s="71"/>
    </row>
    <row r="83" spans="2:9" s="1" customFormat="1" x14ac:dyDescent="0.25">
      <c r="B83" s="60" t="s">
        <v>81</v>
      </c>
      <c r="C83" s="76" t="s">
        <v>226</v>
      </c>
      <c r="D83" s="83">
        <f>D34-D50</f>
        <v>123.82511460654359</v>
      </c>
      <c r="E83" s="63"/>
      <c r="I83" s="59"/>
    </row>
    <row r="84" spans="2:9" s="1" customFormat="1" x14ac:dyDescent="0.25">
      <c r="B84" s="64" t="s">
        <v>83</v>
      </c>
      <c r="C84" s="84" t="s">
        <v>227</v>
      </c>
      <c r="D84" s="85">
        <f>D35-D51</f>
        <v>0</v>
      </c>
      <c r="E84" s="67"/>
    </row>
    <row r="85" spans="2:9" s="1" customFormat="1" x14ac:dyDescent="0.25">
      <c r="B85" s="68" t="s">
        <v>85</v>
      </c>
      <c r="C85" s="91" t="s">
        <v>228</v>
      </c>
      <c r="D85" s="92">
        <f>IFERROR(D38-D52,"-")</f>
        <v>123.82511460654359</v>
      </c>
      <c r="E85" s="71"/>
    </row>
    <row r="86" spans="2:9" s="1" customFormat="1" ht="15.75" thickBot="1" x14ac:dyDescent="0.3">
      <c r="B86" s="114" t="s">
        <v>87</v>
      </c>
      <c r="C86" s="115" t="s">
        <v>229</v>
      </c>
      <c r="D86" s="116"/>
      <c r="E86" s="71"/>
    </row>
    <row r="87" spans="2:9" s="1" customFormat="1" ht="15.75" thickBot="1" x14ac:dyDescent="0.3">
      <c r="B87" s="78" t="s">
        <v>230</v>
      </c>
      <c r="C87" s="79" t="s">
        <v>231</v>
      </c>
      <c r="D87" s="117"/>
      <c r="E87" s="81"/>
      <c r="I87" s="59"/>
    </row>
    <row r="88" spans="2:9" s="1" customFormat="1" ht="15.75" thickBot="1" x14ac:dyDescent="0.3">
      <c r="B88" s="78" t="s">
        <v>232</v>
      </c>
      <c r="C88" s="79" t="s">
        <v>233</v>
      </c>
      <c r="D88" s="80">
        <f>IFERROR(D74+D86-D87,"0")</f>
        <v>-15.87</v>
      </c>
      <c r="E88" s="81"/>
      <c r="I88" s="59"/>
    </row>
    <row r="89" spans="2:9" s="1" customFormat="1" ht="24" x14ac:dyDescent="0.25">
      <c r="B89" s="110" t="s">
        <v>234</v>
      </c>
      <c r="C89" s="111" t="s">
        <v>235</v>
      </c>
      <c r="D89" s="112">
        <f>IFERROR((D75/D11)*100,"0")</f>
        <v>-7.1245888608725991</v>
      </c>
      <c r="E89" s="113"/>
    </row>
    <row r="90" spans="2:9" s="1" customFormat="1" x14ac:dyDescent="0.25">
      <c r="B90" s="64" t="s">
        <v>236</v>
      </c>
      <c r="C90" s="84" t="s">
        <v>237</v>
      </c>
      <c r="D90" s="85">
        <f>IFERROR((D76/D12)*100,"0")</f>
        <v>-0.46979629019587577</v>
      </c>
      <c r="E90" s="67"/>
    </row>
    <row r="91" spans="2:9" s="1" customFormat="1" x14ac:dyDescent="0.25">
      <c r="B91" s="64" t="s">
        <v>238</v>
      </c>
      <c r="C91" s="84" t="s">
        <v>239</v>
      </c>
      <c r="D91" s="85">
        <f>IFERROR((D77/D15)*100,"0")</f>
        <v>-17.427706643613632</v>
      </c>
      <c r="E91" s="67"/>
    </row>
    <row r="92" spans="2:9" s="1" customFormat="1" ht="24" x14ac:dyDescent="0.25">
      <c r="B92" s="64" t="s">
        <v>240</v>
      </c>
      <c r="C92" s="84" t="s">
        <v>241</v>
      </c>
      <c r="D92" s="85">
        <f>IFERROR((D78/D16)*100,"0")</f>
        <v>-16.727673333262327</v>
      </c>
      <c r="E92" s="67"/>
    </row>
    <row r="93" spans="2:9" s="1" customFormat="1" x14ac:dyDescent="0.25">
      <c r="B93" s="64" t="s">
        <v>242</v>
      </c>
      <c r="C93" s="84" t="s">
        <v>243</v>
      </c>
      <c r="D93" s="85">
        <f>IFERROR((D79/D19)*100,"0")</f>
        <v>-17.366095375737377</v>
      </c>
      <c r="E93" s="67"/>
    </row>
    <row r="94" spans="2:9" s="1" customFormat="1" x14ac:dyDescent="0.25">
      <c r="B94" s="64" t="s">
        <v>244</v>
      </c>
      <c r="C94" s="84" t="s">
        <v>245</v>
      </c>
      <c r="D94" s="85">
        <f>IFERROR((D80/D23)*100,"0")</f>
        <v>-22.520978426738697</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17.737250844785468</v>
      </c>
      <c r="E96" s="121"/>
    </row>
    <row r="98" spans="3:3" s="1" customFormat="1" x14ac:dyDescent="0.25">
      <c r="C98" s="90" t="s">
        <v>250</v>
      </c>
    </row>
    <row r="99" spans="3:3" s="1" customFormat="1" x14ac:dyDescent="0.25">
      <c r="C99" s="90" t="s">
        <v>251</v>
      </c>
    </row>
  </sheetData>
  <sheetProtection algorithmName="SHA-512" hashValue="c0BjKeG80j3c7O7StF2sn1jmxVlmgVODbclBWaYLA9ddNFzdds+dZbaXxVoKK1NbFqUAqoUz6obUaflJZ979jg==" saltValue="qOQbcCQqdG3nMOymKOgO5allY8K9xARED3PoGXGsFK19JcTFWvAror8H71mT3qMn6+zSekNVsZNQ63FRMXGYsw==" spinCount="100000" sheet="1" objects="1" scenarios="1"/>
  <mergeCells count="5">
    <mergeCell ref="B8:E8"/>
    <mergeCell ref="A1:L1"/>
    <mergeCell ref="A2:L2"/>
    <mergeCell ref="A3:L3"/>
    <mergeCell ref="A5:L5"/>
  </mergeCells>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tabSelected="1" topLeftCell="A85" zoomScale="80" zoomScaleNormal="80" workbookViewId="0">
      <selection activeCell="I146" sqref="I146"/>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8" t="s">
        <v>0</v>
      </c>
      <c r="B1" s="1279"/>
      <c r="C1" s="1279"/>
      <c r="D1" s="1279"/>
      <c r="E1" s="1279"/>
      <c r="F1" s="1279"/>
      <c r="G1" s="1279"/>
      <c r="H1" s="1279"/>
      <c r="I1" s="1279"/>
      <c r="J1" s="1279"/>
      <c r="K1" s="1279"/>
      <c r="L1" s="1279"/>
      <c r="M1" s="1279"/>
      <c r="N1" s="1279"/>
      <c r="O1" s="1279"/>
      <c r="P1" s="1279"/>
      <c r="Q1" s="1280"/>
    </row>
    <row r="2" spans="1:18" s="1" customFormat="1" x14ac:dyDescent="0.25">
      <c r="A2" s="1278" t="s">
        <v>1</v>
      </c>
      <c r="B2" s="1279"/>
      <c r="C2" s="1279"/>
      <c r="D2" s="1279"/>
      <c r="E2" s="1279"/>
      <c r="F2" s="1279"/>
      <c r="G2" s="1279"/>
      <c r="H2" s="1279"/>
      <c r="I2" s="1279"/>
      <c r="J2" s="1279"/>
      <c r="K2" s="1279"/>
      <c r="L2" s="1279"/>
      <c r="M2" s="1279"/>
      <c r="N2" s="1279"/>
      <c r="O2" s="1279"/>
      <c r="P2" s="1279"/>
      <c r="Q2" s="1280"/>
    </row>
    <row r="3" spans="1:18" s="1" customFormat="1" x14ac:dyDescent="0.25">
      <c r="A3" s="1281"/>
      <c r="B3" s="1282"/>
      <c r="C3" s="1282"/>
      <c r="D3" s="1282"/>
      <c r="E3" s="1282"/>
      <c r="F3" s="1282"/>
      <c r="G3" s="1282"/>
      <c r="H3" s="1282"/>
      <c r="I3" s="1282"/>
      <c r="J3" s="1282"/>
      <c r="K3" s="1282"/>
      <c r="L3" s="1282"/>
      <c r="M3" s="1282"/>
      <c r="N3" s="1282"/>
      <c r="O3" s="1282"/>
      <c r="P3" s="1282"/>
      <c r="Q3" s="1283"/>
    </row>
    <row r="4" spans="1:18" s="1" customFormat="1" x14ac:dyDescent="0.25">
      <c r="A4" s="7"/>
      <c r="B4" s="7"/>
      <c r="C4" s="7"/>
      <c r="D4" s="7"/>
      <c r="E4" s="7"/>
      <c r="F4" s="7"/>
      <c r="G4" s="7"/>
      <c r="H4" s="7"/>
      <c r="I4" s="7"/>
      <c r="J4" s="7"/>
      <c r="K4" s="7"/>
      <c r="L4" s="7"/>
      <c r="M4" s="7"/>
      <c r="N4" s="7"/>
      <c r="O4" s="7"/>
      <c r="P4" s="7"/>
      <c r="Q4" s="123"/>
    </row>
    <row r="5" spans="1:18" s="1" customFormat="1" x14ac:dyDescent="0.25">
      <c r="A5" s="1284" t="s">
        <v>252</v>
      </c>
      <c r="B5" s="1285"/>
      <c r="C5" s="1285"/>
      <c r="D5" s="1285"/>
      <c r="E5" s="1285"/>
      <c r="F5" s="1285"/>
      <c r="G5" s="1285"/>
      <c r="H5" s="1285"/>
      <c r="I5" s="1285"/>
      <c r="J5" s="1285"/>
      <c r="K5" s="1285"/>
      <c r="L5" s="1285"/>
      <c r="M5" s="1285"/>
      <c r="N5" s="1285"/>
      <c r="O5" s="1285"/>
      <c r="P5" s="1285"/>
      <c r="Q5" s="1286"/>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7" t="s">
        <v>253</v>
      </c>
      <c r="C8" s="1277"/>
      <c r="D8" s="1277"/>
      <c r="E8" s="1277"/>
      <c r="F8" s="1277"/>
      <c r="G8" s="1277"/>
      <c r="H8" s="1277"/>
      <c r="I8" s="1277"/>
      <c r="J8" s="1277"/>
      <c r="K8" s="1277"/>
      <c r="L8" s="1277"/>
      <c r="M8" s="1277"/>
      <c r="N8" s="1277"/>
      <c r="O8" s="1277"/>
      <c r="P8" s="1277"/>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3.68</v>
      </c>
      <c r="E11" s="145">
        <f t="shared" si="0"/>
        <v>0</v>
      </c>
      <c r="F11" s="146">
        <f t="shared" si="0"/>
        <v>3.68</v>
      </c>
      <c r="G11" s="147">
        <f t="shared" si="0"/>
        <v>3.68</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x14ac:dyDescent="0.25">
      <c r="B13" s="150" t="s">
        <v>124</v>
      </c>
      <c r="C13" s="151" t="s">
        <v>271</v>
      </c>
      <c r="D13" s="152">
        <f t="shared" ref="D13:P13" si="2">D34+D91</f>
        <v>157.08000000000001</v>
      </c>
      <c r="E13" s="153">
        <f t="shared" si="2"/>
        <v>3.2799999999999996E-2</v>
      </c>
      <c r="F13" s="154">
        <f t="shared" si="2"/>
        <v>69.815200000000004</v>
      </c>
      <c r="G13" s="155">
        <f t="shared" si="2"/>
        <v>66.838400000000007</v>
      </c>
      <c r="H13" s="156">
        <f t="shared" si="2"/>
        <v>0.8528</v>
      </c>
      <c r="I13" s="157">
        <f t="shared" si="2"/>
        <v>2.1239999999999997</v>
      </c>
      <c r="J13" s="154">
        <f t="shared" si="2"/>
        <v>87.232000000000014</v>
      </c>
      <c r="K13" s="155">
        <f t="shared" si="2"/>
        <v>23.872</v>
      </c>
      <c r="L13" s="156">
        <f t="shared" si="2"/>
        <v>63.2072</v>
      </c>
      <c r="M13" s="156">
        <f t="shared" si="2"/>
        <v>0.15279999999999999</v>
      </c>
      <c r="N13" s="152">
        <f t="shared" si="2"/>
        <v>0</v>
      </c>
      <c r="O13" s="153">
        <f t="shared" si="2"/>
        <v>0</v>
      </c>
      <c r="P13" s="154">
        <f t="shared" si="2"/>
        <v>0</v>
      </c>
    </row>
    <row r="14" spans="1:18" s="3" customFormat="1" ht="35.25" customHeight="1" thickBot="1" x14ac:dyDescent="0.3">
      <c r="B14" s="158" t="s">
        <v>126</v>
      </c>
      <c r="C14" s="159" t="s">
        <v>272</v>
      </c>
      <c r="D14" s="160">
        <f t="shared" ref="D14:P14" si="3">D35+D92</f>
        <v>150.12</v>
      </c>
      <c r="E14" s="161">
        <f t="shared" si="3"/>
        <v>0</v>
      </c>
      <c r="F14" s="162">
        <f t="shared" si="3"/>
        <v>68.44</v>
      </c>
      <c r="G14" s="163">
        <f t="shared" si="3"/>
        <v>66.48</v>
      </c>
      <c r="H14" s="164">
        <f t="shared" si="3"/>
        <v>0.82</v>
      </c>
      <c r="I14" s="165">
        <f t="shared" si="3"/>
        <v>1.1399999999999999</v>
      </c>
      <c r="J14" s="162">
        <f t="shared" si="3"/>
        <v>81.680000000000007</v>
      </c>
      <c r="K14" s="163">
        <f t="shared" si="3"/>
        <v>22.56</v>
      </c>
      <c r="L14" s="164">
        <f t="shared" si="3"/>
        <v>59</v>
      </c>
      <c r="M14" s="164">
        <f t="shared" si="3"/>
        <v>0.12</v>
      </c>
      <c r="N14" s="160">
        <f t="shared" si="3"/>
        <v>0</v>
      </c>
      <c r="O14" s="161">
        <f t="shared" si="3"/>
        <v>0</v>
      </c>
      <c r="P14" s="162">
        <f t="shared" si="3"/>
        <v>0</v>
      </c>
      <c r="Q14" s="166"/>
      <c r="R14" s="166"/>
    </row>
    <row r="15" spans="1:18" s="1" customFormat="1" ht="15.75" thickBot="1" x14ac:dyDescent="0.3">
      <c r="B15" s="150" t="s">
        <v>131</v>
      </c>
      <c r="C15" s="151" t="s">
        <v>273</v>
      </c>
      <c r="D15" s="152">
        <f t="shared" ref="D15:P15" si="4">D37</f>
        <v>1.02</v>
      </c>
      <c r="E15" s="153">
        <f t="shared" si="4"/>
        <v>0</v>
      </c>
      <c r="F15" s="154">
        <f t="shared" si="4"/>
        <v>0</v>
      </c>
      <c r="G15" s="155">
        <f t="shared" si="4"/>
        <v>0</v>
      </c>
      <c r="H15" s="156">
        <f t="shared" si="4"/>
        <v>0</v>
      </c>
      <c r="I15" s="157">
        <f t="shared" si="4"/>
        <v>0</v>
      </c>
      <c r="J15" s="154">
        <f t="shared" si="4"/>
        <v>1.02</v>
      </c>
      <c r="K15" s="155">
        <f t="shared" si="4"/>
        <v>0</v>
      </c>
      <c r="L15" s="156">
        <f t="shared" si="4"/>
        <v>0</v>
      </c>
      <c r="M15" s="156">
        <f t="shared" si="4"/>
        <v>1.02</v>
      </c>
      <c r="N15" s="152">
        <f t="shared" si="4"/>
        <v>0</v>
      </c>
      <c r="O15" s="153">
        <f t="shared" si="4"/>
        <v>0</v>
      </c>
      <c r="P15" s="154">
        <f t="shared" si="4"/>
        <v>0</v>
      </c>
    </row>
    <row r="16" spans="1:18" s="1" customFormat="1" x14ac:dyDescent="0.25">
      <c r="B16" s="150" t="s">
        <v>274</v>
      </c>
      <c r="C16" s="151" t="s">
        <v>275</v>
      </c>
      <c r="D16" s="152">
        <f t="shared" ref="D16:P16" si="5">D45+D99+D194</f>
        <v>119.05000000000001</v>
      </c>
      <c r="E16" s="153">
        <f t="shared" si="5"/>
        <v>3.7130967932944934</v>
      </c>
      <c r="F16" s="154">
        <f t="shared" si="5"/>
        <v>44.292070296699642</v>
      </c>
      <c r="G16" s="155">
        <f t="shared" si="5"/>
        <v>9.2432324051878787</v>
      </c>
      <c r="H16" s="156">
        <f t="shared" si="5"/>
        <v>3.1522035194386677</v>
      </c>
      <c r="I16" s="157">
        <f t="shared" si="5"/>
        <v>31.896634372073088</v>
      </c>
      <c r="J16" s="154">
        <f t="shared" si="5"/>
        <v>58.595016104964039</v>
      </c>
      <c r="K16" s="155">
        <f t="shared" si="5"/>
        <v>29.518988808280284</v>
      </c>
      <c r="L16" s="156">
        <f t="shared" si="5"/>
        <v>13.965325055164859</v>
      </c>
      <c r="M16" s="156">
        <f t="shared" si="5"/>
        <v>15.110702241518899</v>
      </c>
      <c r="N16" s="152">
        <f t="shared" si="5"/>
        <v>7.8738907497658481E-3</v>
      </c>
      <c r="O16" s="153">
        <f t="shared" si="5"/>
        <v>0</v>
      </c>
      <c r="P16" s="154">
        <f t="shared" si="5"/>
        <v>12.441942914292065</v>
      </c>
    </row>
    <row r="17" spans="1:21" s="3" customFormat="1" x14ac:dyDescent="0.25">
      <c r="B17" s="167" t="s">
        <v>276</v>
      </c>
      <c r="C17" s="168" t="s">
        <v>277</v>
      </c>
      <c r="D17" s="169">
        <f t="shared" ref="D17:P17" si="6">D46+D100+D195</f>
        <v>70.8</v>
      </c>
      <c r="E17" s="170">
        <f t="shared" si="6"/>
        <v>2.6504000000000003</v>
      </c>
      <c r="F17" s="171">
        <f t="shared" si="6"/>
        <v>27.933600000000002</v>
      </c>
      <c r="G17" s="172">
        <f t="shared" si="6"/>
        <v>0.7612000000000001</v>
      </c>
      <c r="H17" s="173">
        <f t="shared" si="6"/>
        <v>2.5204</v>
      </c>
      <c r="I17" s="174">
        <f t="shared" si="6"/>
        <v>24.652000000000001</v>
      </c>
      <c r="J17" s="171">
        <f t="shared" si="6"/>
        <v>39.245999999999995</v>
      </c>
      <c r="K17" s="172">
        <f t="shared" si="6"/>
        <v>19.646000000000001</v>
      </c>
      <c r="L17" s="173">
        <f t="shared" si="6"/>
        <v>6.2196000000000007</v>
      </c>
      <c r="M17" s="173">
        <f t="shared" si="6"/>
        <v>13.3804</v>
      </c>
      <c r="N17" s="169">
        <f t="shared" si="6"/>
        <v>0</v>
      </c>
      <c r="O17" s="170">
        <f t="shared" si="6"/>
        <v>0</v>
      </c>
      <c r="P17" s="171">
        <f t="shared" si="6"/>
        <v>0.97</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47.24</v>
      </c>
      <c r="E19" s="178">
        <f t="shared" si="8"/>
        <v>0.47839679329449303</v>
      </c>
      <c r="F19" s="179">
        <f t="shared" si="8"/>
        <v>16.212270296699632</v>
      </c>
      <c r="G19" s="180">
        <f t="shared" si="8"/>
        <v>8.4691324051878798</v>
      </c>
      <c r="H19" s="181">
        <f t="shared" si="8"/>
        <v>0.62750351943866778</v>
      </c>
      <c r="I19" s="182">
        <f t="shared" si="8"/>
        <v>7.115634372073087</v>
      </c>
      <c r="J19" s="179">
        <f t="shared" si="8"/>
        <v>19.069516104964045</v>
      </c>
      <c r="K19" s="180">
        <f t="shared" si="8"/>
        <v>9.700988808280286</v>
      </c>
      <c r="L19" s="181">
        <f t="shared" si="8"/>
        <v>7.6425250551648594</v>
      </c>
      <c r="M19" s="181">
        <f t="shared" si="8"/>
        <v>1.7260022415188989</v>
      </c>
      <c r="N19" s="177">
        <f t="shared" si="8"/>
        <v>7.8738907497658481E-3</v>
      </c>
      <c r="O19" s="178">
        <f t="shared" si="8"/>
        <v>0</v>
      </c>
      <c r="P19" s="179">
        <f t="shared" si="8"/>
        <v>11.471942914292065</v>
      </c>
      <c r="Q19" s="166"/>
      <c r="R19" s="166"/>
    </row>
    <row r="20" spans="1:21" s="1" customFormat="1" x14ac:dyDescent="0.25">
      <c r="B20" s="150" t="s">
        <v>282</v>
      </c>
      <c r="C20" s="183" t="s">
        <v>283</v>
      </c>
      <c r="D20" s="152">
        <f t="shared" ref="D20:P20" si="9">D52+D106+D201</f>
        <v>839.45499999999993</v>
      </c>
      <c r="E20" s="153">
        <f t="shared" si="9"/>
        <v>119.50976222754909</v>
      </c>
      <c r="F20" s="154">
        <f t="shared" si="9"/>
        <v>265.73211734637181</v>
      </c>
      <c r="G20" s="155">
        <f t="shared" si="9"/>
        <v>43.236879034178401</v>
      </c>
      <c r="H20" s="156">
        <f t="shared" si="9"/>
        <v>20.268626307684983</v>
      </c>
      <c r="I20" s="157">
        <f t="shared" si="9"/>
        <v>202.22661200450844</v>
      </c>
      <c r="J20" s="154">
        <f t="shared" si="9"/>
        <v>421.74650604035367</v>
      </c>
      <c r="K20" s="155">
        <f t="shared" si="9"/>
        <v>179.08030876446591</v>
      </c>
      <c r="L20" s="156">
        <f t="shared" si="9"/>
        <v>214.37324493197656</v>
      </c>
      <c r="M20" s="156">
        <f t="shared" si="9"/>
        <v>28.292952343911228</v>
      </c>
      <c r="N20" s="152">
        <f t="shared" si="9"/>
        <v>19.21007492896036</v>
      </c>
      <c r="O20" s="153">
        <f t="shared" si="9"/>
        <v>0</v>
      </c>
      <c r="P20" s="154">
        <f t="shared" si="9"/>
        <v>13.256539456765038</v>
      </c>
    </row>
    <row r="21" spans="1:21" s="1" customFormat="1" ht="15.75" thickBot="1" x14ac:dyDescent="0.3">
      <c r="B21" s="167" t="s">
        <v>284</v>
      </c>
      <c r="C21" s="184" t="s">
        <v>285</v>
      </c>
      <c r="D21" s="169">
        <f t="shared" ref="D21:P21" si="10">D53+D107+D202</f>
        <v>817.71500000000003</v>
      </c>
      <c r="E21" s="170">
        <f t="shared" si="10"/>
        <v>116.69817243450331</v>
      </c>
      <c r="F21" s="171">
        <f t="shared" si="10"/>
        <v>258.97342471385707</v>
      </c>
      <c r="G21" s="172">
        <f t="shared" si="10"/>
        <v>42.155496168886494</v>
      </c>
      <c r="H21" s="173">
        <f t="shared" si="10"/>
        <v>19.73580225051461</v>
      </c>
      <c r="I21" s="174">
        <f t="shared" si="10"/>
        <v>197.082126294456</v>
      </c>
      <c r="J21" s="171">
        <f t="shared" si="10"/>
        <v>410.33436047126929</v>
      </c>
      <c r="K21" s="172">
        <f t="shared" si="10"/>
        <v>173.48178580688858</v>
      </c>
      <c r="L21" s="173">
        <f t="shared" si="10"/>
        <v>209.25575526381238</v>
      </c>
      <c r="M21" s="173">
        <f t="shared" si="10"/>
        <v>27.596819400568318</v>
      </c>
      <c r="N21" s="169">
        <f t="shared" si="10"/>
        <v>18.783626170103556</v>
      </c>
      <c r="O21" s="170">
        <f t="shared" si="10"/>
        <v>0</v>
      </c>
      <c r="P21" s="171">
        <f t="shared" si="10"/>
        <v>12.92541621026675</v>
      </c>
    </row>
    <row r="22" spans="1:21" s="1" customFormat="1" ht="15.75" thickBot="1" x14ac:dyDescent="0.3">
      <c r="A22" s="185"/>
      <c r="B22" s="186" t="s">
        <v>286</v>
      </c>
      <c r="C22" s="187" t="s">
        <v>287</v>
      </c>
      <c r="D22" s="188">
        <f>D32+D33+D47+D67+D69+D73+D75+D76+D77+D79+D85+D86+D101+D119+D121+D125+D128+D129+D131+D137+D138+D196+D214+D216+D220+D222+D223+D224+D226+D233+D234+D127</f>
        <v>66.099999999999994</v>
      </c>
      <c r="E22" s="189">
        <f>E32+E33+E47+E67+E69+E73+E75+E76+E77+E79+E85+E86+E101+E119+E121+E125+E127+E128+E129+E131+E137+E138+E196+E214+E216+E220+E222+E223+E224+E226+E233+E234+E127</f>
        <v>2.031265423142254</v>
      </c>
      <c r="F22" s="190">
        <f t="shared" ref="F22:P22" si="11">F32+F33+F47+F67+F69+F73+F75+F76+F77+F79+F85+F86+F101+F119+F121+F125+F128+F129+F131+F137+F138+F196+F214+F216+F220+F222+F223+F224+F226+F233+F234+F127</f>
        <v>26.568079075452829</v>
      </c>
      <c r="G22" s="191">
        <f t="shared" si="11"/>
        <v>9.1677671868302841</v>
      </c>
      <c r="H22" s="192">
        <f t="shared" si="11"/>
        <v>0.88895532519486287</v>
      </c>
      <c r="I22" s="193">
        <f t="shared" si="11"/>
        <v>16.511356563427682</v>
      </c>
      <c r="J22" s="190">
        <f t="shared" si="11"/>
        <v>25.267987268426651</v>
      </c>
      <c r="K22" s="191">
        <f t="shared" si="11"/>
        <v>12.568079818392521</v>
      </c>
      <c r="L22" s="192">
        <f t="shared" si="11"/>
        <v>10.496798329973171</v>
      </c>
      <c r="M22" s="192">
        <f t="shared" si="11"/>
        <v>2.2031091200609594</v>
      </c>
      <c r="N22" s="188">
        <f t="shared" si="11"/>
        <v>0.45767386852507425</v>
      </c>
      <c r="O22" s="189">
        <f t="shared" si="11"/>
        <v>0</v>
      </c>
      <c r="P22" s="194">
        <f t="shared" si="11"/>
        <v>11.774994364453192</v>
      </c>
    </row>
    <row r="23" spans="1:21" s="1" customFormat="1" ht="16.5" thickTop="1" thickBot="1" x14ac:dyDescent="0.3">
      <c r="A23" s="185"/>
      <c r="B23" s="195" t="s">
        <v>288</v>
      </c>
      <c r="C23" s="135" t="s">
        <v>289</v>
      </c>
      <c r="D23" s="196">
        <f t="shared" ref="D23:P23" si="12">D29+D90+D186</f>
        <v>1473.5749999999998</v>
      </c>
      <c r="E23" s="197">
        <f t="shared" si="12"/>
        <v>160.66341031054023</v>
      </c>
      <c r="F23" s="195">
        <f t="shared" si="12"/>
        <v>537.28273150026564</v>
      </c>
      <c r="G23" s="198">
        <f t="shared" si="12"/>
        <v>194.14427910105795</v>
      </c>
      <c r="H23" s="199">
        <f t="shared" si="12"/>
        <v>27.891456905850486</v>
      </c>
      <c r="I23" s="200">
        <f t="shared" si="12"/>
        <v>315.24699549335719</v>
      </c>
      <c r="J23" s="195">
        <f t="shared" si="12"/>
        <v>723.41674521039181</v>
      </c>
      <c r="K23" s="198">
        <f t="shared" si="12"/>
        <v>319.47715185450164</v>
      </c>
      <c r="L23" s="199">
        <f t="shared" si="12"/>
        <v>353.38793999302936</v>
      </c>
      <c r="M23" s="199">
        <f t="shared" si="12"/>
        <v>50.55165336286084</v>
      </c>
      <c r="N23" s="196">
        <f t="shared" si="12"/>
        <v>20.671669868080581</v>
      </c>
      <c r="O23" s="197">
        <f t="shared" si="12"/>
        <v>0</v>
      </c>
      <c r="P23" s="201">
        <f t="shared" si="12"/>
        <v>31.35425539345642</v>
      </c>
      <c r="S23" s="122"/>
      <c r="T23" s="202"/>
      <c r="U23" s="4"/>
    </row>
    <row r="24" spans="1:21" s="1" customFormat="1" ht="15.75" thickTop="1" x14ac:dyDescent="0.25">
      <c r="B24" s="203" t="s">
        <v>290</v>
      </c>
      <c r="C24" s="204" t="s">
        <v>291</v>
      </c>
      <c r="D24" s="152">
        <f t="shared" ref="D24:D31" si="13">E24+F24+J24+N24+O24+P24</f>
        <v>1261.0188122827346</v>
      </c>
      <c r="E24" s="153">
        <f t="shared" ref="E24:P24" si="14">SUM(E25:E27)</f>
        <v>160.66341031054023</v>
      </c>
      <c r="F24" s="154">
        <f t="shared" si="14"/>
        <v>413.59273150026559</v>
      </c>
      <c r="G24" s="155">
        <f t="shared" si="14"/>
        <v>72.414279101057929</v>
      </c>
      <c r="H24" s="156">
        <f t="shared" si="14"/>
        <v>27.071456905850486</v>
      </c>
      <c r="I24" s="157">
        <f t="shared" si="14"/>
        <v>314.1069954933572</v>
      </c>
      <c r="J24" s="154">
        <f t="shared" si="14"/>
        <v>634.73674521039186</v>
      </c>
      <c r="K24" s="155">
        <f t="shared" si="14"/>
        <v>296.91715185450164</v>
      </c>
      <c r="L24" s="156">
        <f t="shared" si="14"/>
        <v>288.40793999302934</v>
      </c>
      <c r="M24" s="156">
        <f t="shared" si="14"/>
        <v>49.411653362860839</v>
      </c>
      <c r="N24" s="152">
        <f t="shared" si="14"/>
        <v>20.671669868080581</v>
      </c>
      <c r="O24" s="153">
        <f t="shared" si="14"/>
        <v>0</v>
      </c>
      <c r="P24" s="203">
        <f t="shared" si="14"/>
        <v>31.35425539345642</v>
      </c>
      <c r="S24" s="122"/>
      <c r="T24" s="122"/>
      <c r="U24" s="205"/>
    </row>
    <row r="25" spans="1:21" s="1" customFormat="1" x14ac:dyDescent="0.25">
      <c r="B25" s="206" t="s">
        <v>292</v>
      </c>
      <c r="C25" s="207" t="s">
        <v>293</v>
      </c>
      <c r="D25" s="208">
        <f t="shared" si="13"/>
        <v>778.61500000000001</v>
      </c>
      <c r="E25" s="209">
        <f>E29-E30-E31-E35-E38-E39-E58-E59-E89</f>
        <v>118.80499999999999</v>
      </c>
      <c r="F25" s="206">
        <f t="shared" ref="F25:F30" si="15">SUM(G25:I25)</f>
        <v>253.45000000000002</v>
      </c>
      <c r="G25" s="210">
        <f>G29-G30-G31-G35-G38-G39-G58-G59-G89</f>
        <v>49.210000000000015</v>
      </c>
      <c r="H25" s="211">
        <f>H29-H30-H31-H35-H38-H39-H58-H59-H89</f>
        <v>18.619999999999997</v>
      </c>
      <c r="I25" s="212">
        <f>I29-I30-I31-I35-I38-I39-I58-I59-I89</f>
        <v>185.62</v>
      </c>
      <c r="J25" s="206">
        <f t="shared" ref="J25:J56" si="16">SUM(K25:M25)</f>
        <v>367.35</v>
      </c>
      <c r="K25" s="210">
        <f t="shared" ref="K25:P25" si="17">K29-K30-K31-K35-K38-K39-K58-K59-K89</f>
        <v>155.91</v>
      </c>
      <c r="L25" s="211">
        <f t="shared" si="17"/>
        <v>176.09</v>
      </c>
      <c r="M25" s="211">
        <f t="shared" si="17"/>
        <v>35.35</v>
      </c>
      <c r="N25" s="208">
        <f t="shared" si="17"/>
        <v>15.5</v>
      </c>
      <c r="O25" s="209">
        <f t="shared" si="17"/>
        <v>0</v>
      </c>
      <c r="P25" s="206">
        <f t="shared" si="17"/>
        <v>23.51</v>
      </c>
      <c r="S25" s="122"/>
      <c r="T25" s="122"/>
      <c r="U25" s="205"/>
    </row>
    <row r="26" spans="1:21" s="1" customFormat="1" x14ac:dyDescent="0.25">
      <c r="B26" s="206" t="s">
        <v>294</v>
      </c>
      <c r="C26" s="213" t="s">
        <v>295</v>
      </c>
      <c r="D26" s="214">
        <f t="shared" si="13"/>
        <v>166.28</v>
      </c>
      <c r="E26" s="215">
        <f>E90-E92-E140</f>
        <v>1.6628000000000001</v>
      </c>
      <c r="F26" s="216">
        <f t="shared" si="15"/>
        <v>56.535200000000003</v>
      </c>
      <c r="G26" s="217">
        <f>G90-G92-G140</f>
        <v>4.9883999999999995</v>
      </c>
      <c r="H26" s="218">
        <f>H90-H92-H140</f>
        <v>1.6628000000000001</v>
      </c>
      <c r="I26" s="219">
        <f>I90-I92-I140</f>
        <v>49.884</v>
      </c>
      <c r="J26" s="216">
        <f t="shared" si="16"/>
        <v>108.08199999999999</v>
      </c>
      <c r="K26" s="217">
        <f t="shared" ref="K26:P26" si="18">K90-K92-K140</f>
        <v>66.512</v>
      </c>
      <c r="L26" s="218">
        <f t="shared" si="18"/>
        <v>39.907199999999996</v>
      </c>
      <c r="M26" s="218">
        <f t="shared" si="18"/>
        <v>1.6628000000000001</v>
      </c>
      <c r="N26" s="214">
        <f t="shared" si="18"/>
        <v>0</v>
      </c>
      <c r="O26" s="215">
        <f t="shared" si="18"/>
        <v>0</v>
      </c>
      <c r="P26" s="216">
        <f t="shared" si="18"/>
        <v>0</v>
      </c>
    </row>
    <row r="27" spans="1:21" s="1" customFormat="1" ht="15.75" thickBot="1" x14ac:dyDescent="0.3">
      <c r="B27" s="206" t="s">
        <v>296</v>
      </c>
      <c r="C27" s="220" t="s">
        <v>297</v>
      </c>
      <c r="D27" s="221">
        <f t="shared" si="13"/>
        <v>316.12381228273466</v>
      </c>
      <c r="E27" s="222">
        <f>E186</f>
        <v>40.195610310540232</v>
      </c>
      <c r="F27" s="223">
        <f t="shared" si="15"/>
        <v>103.60753150026558</v>
      </c>
      <c r="G27" s="224">
        <f>G186</f>
        <v>18.215879101057908</v>
      </c>
      <c r="H27" s="225">
        <f>H186</f>
        <v>6.7886569058504875</v>
      </c>
      <c r="I27" s="226">
        <f>I186</f>
        <v>78.602995493357184</v>
      </c>
      <c r="J27" s="223">
        <f t="shared" si="16"/>
        <v>159.30474521039184</v>
      </c>
      <c r="K27" s="224">
        <f t="shared" ref="K27:P27" si="19">K186</f>
        <v>74.495151854501657</v>
      </c>
      <c r="L27" s="225">
        <f t="shared" si="19"/>
        <v>72.410739993029352</v>
      </c>
      <c r="M27" s="225">
        <f t="shared" si="19"/>
        <v>12.398853362860841</v>
      </c>
      <c r="N27" s="221">
        <f t="shared" si="19"/>
        <v>5.1716698680805804</v>
      </c>
      <c r="O27" s="222">
        <f t="shared" si="19"/>
        <v>0</v>
      </c>
      <c r="P27" s="223">
        <f t="shared" si="19"/>
        <v>7.8442553934564163</v>
      </c>
    </row>
    <row r="28" spans="1:21" s="1" customFormat="1" ht="16.5" thickTop="1" thickBot="1" x14ac:dyDescent="0.3">
      <c r="B28" s="203" t="s">
        <v>298</v>
      </c>
      <c r="C28" s="204" t="s">
        <v>299</v>
      </c>
      <c r="D28" s="196">
        <f t="shared" si="13"/>
        <v>212.37</v>
      </c>
      <c r="E28" s="197">
        <f>E30+E31+E35+E38+E39+E58+E59+E89+E92+E140</f>
        <v>0</v>
      </c>
      <c r="F28" s="195">
        <f t="shared" si="15"/>
        <v>123.69000000000001</v>
      </c>
      <c r="G28" s="198">
        <f>G30+G31+G35+G38+G39+G58+G59+G89+G92+G140</f>
        <v>121.73000000000002</v>
      </c>
      <c r="H28" s="199">
        <f>H30+H31+H35+H38+H39+H58+H59+H89+H92+H140</f>
        <v>0.82</v>
      </c>
      <c r="I28" s="200">
        <f>I30+I31+I35+I38+I39+I58+I59+I89+I92+I140</f>
        <v>1.1399999999999999</v>
      </c>
      <c r="J28" s="195">
        <f t="shared" si="16"/>
        <v>88.68</v>
      </c>
      <c r="K28" s="198">
        <f t="shared" ref="K28:P28" si="20">K30+K31+K35+K38+K39+K58+K59+K89+K92+K140</f>
        <v>22.56</v>
      </c>
      <c r="L28" s="199">
        <f t="shared" si="20"/>
        <v>64.98</v>
      </c>
      <c r="M28" s="199">
        <f t="shared" si="20"/>
        <v>1.1400000000000001</v>
      </c>
      <c r="N28" s="196">
        <f t="shared" si="20"/>
        <v>0</v>
      </c>
      <c r="O28" s="197">
        <f t="shared" si="20"/>
        <v>0</v>
      </c>
      <c r="P28" s="195">
        <f t="shared" si="20"/>
        <v>0</v>
      </c>
    </row>
    <row r="29" spans="1:21" s="1" customFormat="1" ht="45" customHeight="1" thickTop="1" thickBot="1" x14ac:dyDescent="0.3">
      <c r="B29" s="134" t="s">
        <v>53</v>
      </c>
      <c r="C29" s="135" t="s">
        <v>300</v>
      </c>
      <c r="D29" s="227">
        <f t="shared" si="13"/>
        <v>990.9849999999999</v>
      </c>
      <c r="E29" s="228">
        <f>E30+E31+E34+E37+E40+E43+E45+E51+E52+E57+E63+E66+E81+E82</f>
        <v>118.80499999999999</v>
      </c>
      <c r="F29" s="134">
        <f t="shared" si="15"/>
        <v>377.14</v>
      </c>
      <c r="G29" s="229">
        <f>G30+G31+G34+G37+G40+G43+G45+G51+G52+G57+G63+G66+G81+G82</f>
        <v>170.94000000000003</v>
      </c>
      <c r="H29" s="230">
        <f>H30+H31+H34+H37+H40+H43+H45+H51+H52+H57+H63+H66+H81+H82</f>
        <v>19.439999999999998</v>
      </c>
      <c r="I29" s="231">
        <f>I30+I31+I34+I37+I40+I43+I45+I51+I52+I57+I63+I66+I81+I82</f>
        <v>186.76</v>
      </c>
      <c r="J29" s="134">
        <f t="shared" si="16"/>
        <v>456.03</v>
      </c>
      <c r="K29" s="229">
        <f t="shared" ref="K29:P29" si="21">K30+K31+K34+K37+K40+K43+K45+K51+K52+K57+K63+K66+K81+K82</f>
        <v>178.47</v>
      </c>
      <c r="L29" s="230">
        <f t="shared" si="21"/>
        <v>241.07</v>
      </c>
      <c r="M29" s="230">
        <f t="shared" si="21"/>
        <v>36.49</v>
      </c>
      <c r="N29" s="227">
        <f t="shared" si="21"/>
        <v>15.5</v>
      </c>
      <c r="O29" s="228">
        <f t="shared" si="21"/>
        <v>0</v>
      </c>
      <c r="P29" s="134">
        <f t="shared" si="21"/>
        <v>23.51</v>
      </c>
      <c r="Q29" s="232"/>
      <c r="R29" s="232"/>
      <c r="S29" s="205"/>
    </row>
    <row r="30" spans="1:21" s="1" customFormat="1" ht="16.5" thickTop="1" thickBot="1" x14ac:dyDescent="0.3">
      <c r="B30" s="142" t="s">
        <v>55</v>
      </c>
      <c r="C30" s="143" t="s">
        <v>269</v>
      </c>
      <c r="D30" s="144">
        <f t="shared" si="13"/>
        <v>3.68</v>
      </c>
      <c r="E30" s="145">
        <v>0</v>
      </c>
      <c r="F30" s="146">
        <f t="shared" si="15"/>
        <v>3.68</v>
      </c>
      <c r="G30" s="233">
        <v>3.68</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0</v>
      </c>
      <c r="E31" s="153">
        <f>SUM(E32:E33)</f>
        <v>0</v>
      </c>
      <c r="F31" s="154">
        <v>0</v>
      </c>
      <c r="G31" s="155">
        <f>SUM(G32:G33)</f>
        <v>0</v>
      </c>
      <c r="H31" s="156">
        <f>SUM(H32:H33)</f>
        <v>0</v>
      </c>
      <c r="I31" s="157">
        <f>SUM(I32:I33)</f>
        <v>0</v>
      </c>
      <c r="J31" s="154">
        <f t="shared" si="16"/>
        <v>0</v>
      </c>
      <c r="K31" s="155">
        <f>SUM(K32:K33)</f>
        <v>0</v>
      </c>
      <c r="L31" s="156">
        <f>SUM(L32:L33)</f>
        <v>0</v>
      </c>
      <c r="M31" s="156">
        <f>SUM(M32:M33)</f>
        <v>0</v>
      </c>
      <c r="N31" s="152">
        <f>SUM(N32:N33)</f>
        <v>0</v>
      </c>
      <c r="O31" s="153">
        <v>0</v>
      </c>
      <c r="P31" s="154">
        <v>0</v>
      </c>
    </row>
    <row r="32" spans="1:21" s="1" customFormat="1" x14ac:dyDescent="0.25">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2">E34+F34+J34+N34+O34+P34</f>
        <v>153.80000000000001</v>
      </c>
      <c r="E34" s="153">
        <f>E35+E36</f>
        <v>0</v>
      </c>
      <c r="F34" s="154">
        <f>F35+F36</f>
        <v>68.7</v>
      </c>
      <c r="G34" s="155">
        <f>G35+G36</f>
        <v>66.740000000000009</v>
      </c>
      <c r="H34" s="156">
        <f>H35+H36</f>
        <v>0.82</v>
      </c>
      <c r="I34" s="157">
        <f>I35+I36</f>
        <v>1.1399999999999999</v>
      </c>
      <c r="J34" s="154">
        <f t="shared" si="16"/>
        <v>85.100000000000009</v>
      </c>
      <c r="K34" s="155">
        <f t="shared" ref="K34:P34" si="23">SUM(K35:K36)</f>
        <v>22.56</v>
      </c>
      <c r="L34" s="156">
        <f t="shared" si="23"/>
        <v>62.42</v>
      </c>
      <c r="M34" s="156">
        <f t="shared" si="23"/>
        <v>0.12</v>
      </c>
      <c r="N34" s="152">
        <f t="shared" si="23"/>
        <v>0</v>
      </c>
      <c r="O34" s="153">
        <f t="shared" si="23"/>
        <v>0</v>
      </c>
      <c r="P34" s="154">
        <f t="shared" si="23"/>
        <v>0</v>
      </c>
      <c r="S34" s="205"/>
    </row>
    <row r="35" spans="2:19" s="1" customFormat="1" ht="33" customHeight="1" x14ac:dyDescent="0.25">
      <c r="B35" s="167" t="s">
        <v>304</v>
      </c>
      <c r="C35" s="168" t="s">
        <v>272</v>
      </c>
      <c r="D35" s="208">
        <f t="shared" si="22"/>
        <v>150.12</v>
      </c>
      <c r="E35" s="245">
        <v>0</v>
      </c>
      <c r="F35" s="206">
        <f t="shared" ref="F35:F66" si="24">SUM(G35:I35)</f>
        <v>68.44</v>
      </c>
      <c r="G35" s="242">
        <v>66.48</v>
      </c>
      <c r="H35" s="97">
        <v>0.82</v>
      </c>
      <c r="I35" s="243">
        <v>1.1399999999999999</v>
      </c>
      <c r="J35" s="206">
        <f t="shared" si="16"/>
        <v>81.680000000000007</v>
      </c>
      <c r="K35" s="242">
        <v>22.56</v>
      </c>
      <c r="L35" s="97">
        <v>59</v>
      </c>
      <c r="M35" s="97">
        <v>0.12</v>
      </c>
      <c r="N35" s="244">
        <v>0</v>
      </c>
      <c r="O35" s="240">
        <v>0</v>
      </c>
      <c r="P35" s="241">
        <v>0</v>
      </c>
    </row>
    <row r="36" spans="2:19" s="1" customFormat="1" ht="26.25" customHeight="1" thickBot="1" x14ac:dyDescent="0.3">
      <c r="B36" s="167" t="s">
        <v>305</v>
      </c>
      <c r="C36" s="168" t="s">
        <v>306</v>
      </c>
      <c r="D36" s="208">
        <f t="shared" si="22"/>
        <v>3.6799999999999997</v>
      </c>
      <c r="E36" s="240">
        <v>0</v>
      </c>
      <c r="F36" s="206">
        <f t="shared" si="24"/>
        <v>0.26</v>
      </c>
      <c r="G36" s="242">
        <v>0.26</v>
      </c>
      <c r="H36" s="246">
        <v>0</v>
      </c>
      <c r="I36" s="247">
        <v>0</v>
      </c>
      <c r="J36" s="206">
        <f t="shared" si="16"/>
        <v>3.42</v>
      </c>
      <c r="K36" s="248">
        <v>0</v>
      </c>
      <c r="L36" s="246">
        <v>3.42</v>
      </c>
      <c r="M36" s="246">
        <v>0</v>
      </c>
      <c r="N36" s="244">
        <v>0</v>
      </c>
      <c r="O36" s="240">
        <v>0</v>
      </c>
      <c r="P36" s="241">
        <v>0</v>
      </c>
    </row>
    <row r="37" spans="2:19" s="1" customFormat="1" x14ac:dyDescent="0.25">
      <c r="B37" s="150" t="s">
        <v>307</v>
      </c>
      <c r="C37" s="239" t="s">
        <v>273</v>
      </c>
      <c r="D37" s="152">
        <f t="shared" si="22"/>
        <v>1.02</v>
      </c>
      <c r="E37" s="153">
        <f>E38+E39</f>
        <v>0</v>
      </c>
      <c r="F37" s="154">
        <f t="shared" si="24"/>
        <v>0</v>
      </c>
      <c r="G37" s="155">
        <f>G38</f>
        <v>0</v>
      </c>
      <c r="H37" s="156">
        <f>H38</f>
        <v>0</v>
      </c>
      <c r="I37" s="157">
        <f>I38</f>
        <v>0</v>
      </c>
      <c r="J37" s="154">
        <f t="shared" si="16"/>
        <v>1.02</v>
      </c>
      <c r="K37" s="155">
        <f t="shared" ref="K37:P37" si="25">SUM(K38:K39)</f>
        <v>0</v>
      </c>
      <c r="L37" s="156">
        <f t="shared" si="25"/>
        <v>0</v>
      </c>
      <c r="M37" s="156">
        <f t="shared" si="25"/>
        <v>1.02</v>
      </c>
      <c r="N37" s="152">
        <f t="shared" si="25"/>
        <v>0</v>
      </c>
      <c r="O37" s="153">
        <f t="shared" si="25"/>
        <v>0</v>
      </c>
      <c r="P37" s="154">
        <f t="shared" si="25"/>
        <v>0</v>
      </c>
    </row>
    <row r="38" spans="2:19" s="1" customFormat="1" x14ac:dyDescent="0.25">
      <c r="B38" s="167" t="s">
        <v>308</v>
      </c>
      <c r="C38" s="168" t="s">
        <v>309</v>
      </c>
      <c r="D38" s="208">
        <f t="shared" si="22"/>
        <v>1.02</v>
      </c>
      <c r="E38" s="245">
        <v>0</v>
      </c>
      <c r="F38" s="206">
        <f t="shared" si="24"/>
        <v>0</v>
      </c>
      <c r="G38" s="248">
        <v>0</v>
      </c>
      <c r="H38" s="246">
        <v>0</v>
      </c>
      <c r="I38" s="247">
        <v>0</v>
      </c>
      <c r="J38" s="206">
        <f t="shared" si="16"/>
        <v>1.02</v>
      </c>
      <c r="K38" s="248">
        <v>0</v>
      </c>
      <c r="L38" s="246">
        <v>0</v>
      </c>
      <c r="M38" s="246">
        <v>1.02</v>
      </c>
      <c r="N38" s="249">
        <v>0</v>
      </c>
      <c r="O38" s="240">
        <v>0</v>
      </c>
      <c r="P38" s="241">
        <v>0</v>
      </c>
    </row>
    <row r="39" spans="2:19" s="1" customFormat="1" ht="15.75" thickBot="1" x14ac:dyDescent="0.3">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2"/>
        <v>18.580000000000002</v>
      </c>
      <c r="E40" s="153">
        <f>SUM(E41:E42)</f>
        <v>5.47</v>
      </c>
      <c r="F40" s="154">
        <f t="shared" si="24"/>
        <v>1.86</v>
      </c>
      <c r="G40" s="155">
        <f>SUM(G41:G42)</f>
        <v>0</v>
      </c>
      <c r="H40" s="156">
        <f>SUM(H41:H42)</f>
        <v>0</v>
      </c>
      <c r="I40" s="157">
        <f>SUM(I41:I42)</f>
        <v>1.86</v>
      </c>
      <c r="J40" s="154">
        <f t="shared" si="16"/>
        <v>7.72</v>
      </c>
      <c r="K40" s="155">
        <f t="shared" ref="K40:P40" si="26">SUM(K41:K42)</f>
        <v>6.46</v>
      </c>
      <c r="L40" s="156">
        <f t="shared" si="26"/>
        <v>0</v>
      </c>
      <c r="M40" s="156">
        <f t="shared" si="26"/>
        <v>1.26</v>
      </c>
      <c r="N40" s="152">
        <f t="shared" si="26"/>
        <v>0</v>
      </c>
      <c r="O40" s="153">
        <f t="shared" si="26"/>
        <v>0</v>
      </c>
      <c r="P40" s="154">
        <f t="shared" si="26"/>
        <v>3.53</v>
      </c>
    </row>
    <row r="41" spans="2:19" s="1" customFormat="1" ht="31.5" customHeight="1" x14ac:dyDescent="0.25">
      <c r="B41" s="167" t="s">
        <v>314</v>
      </c>
      <c r="C41" s="168" t="s">
        <v>315</v>
      </c>
      <c r="D41" s="208">
        <f t="shared" si="22"/>
        <v>11.25</v>
      </c>
      <c r="E41" s="240">
        <v>0</v>
      </c>
      <c r="F41" s="206">
        <f t="shared" si="24"/>
        <v>0</v>
      </c>
      <c r="G41" s="242">
        <v>0</v>
      </c>
      <c r="H41" s="97">
        <v>0</v>
      </c>
      <c r="I41" s="243">
        <v>0</v>
      </c>
      <c r="J41" s="206">
        <f t="shared" si="16"/>
        <v>7.72</v>
      </c>
      <c r="K41" s="242">
        <v>6.46</v>
      </c>
      <c r="L41" s="97">
        <v>0</v>
      </c>
      <c r="M41" s="97">
        <v>1.26</v>
      </c>
      <c r="N41" s="244">
        <v>0</v>
      </c>
      <c r="O41" s="240">
        <v>0</v>
      </c>
      <c r="P41" s="241">
        <v>3.53</v>
      </c>
    </row>
    <row r="42" spans="2:19" s="1" customFormat="1" ht="15.75" thickBot="1" x14ac:dyDescent="0.3">
      <c r="B42" s="167" t="s">
        <v>316</v>
      </c>
      <c r="C42" s="168" t="s">
        <v>317</v>
      </c>
      <c r="D42" s="208">
        <f t="shared" si="22"/>
        <v>7.33</v>
      </c>
      <c r="E42" s="240">
        <v>5.47</v>
      </c>
      <c r="F42" s="206">
        <f t="shared" si="24"/>
        <v>1.86</v>
      </c>
      <c r="G42" s="242">
        <v>0</v>
      </c>
      <c r="H42" s="97">
        <v>0</v>
      </c>
      <c r="I42" s="243">
        <v>1.86</v>
      </c>
      <c r="J42" s="206">
        <f t="shared" si="16"/>
        <v>0</v>
      </c>
      <c r="K42" s="242">
        <v>0</v>
      </c>
      <c r="L42" s="97">
        <v>0</v>
      </c>
      <c r="M42" s="97">
        <v>0</v>
      </c>
      <c r="N42" s="244">
        <v>0</v>
      </c>
      <c r="O42" s="240">
        <v>0</v>
      </c>
      <c r="P42" s="241">
        <v>0</v>
      </c>
    </row>
    <row r="43" spans="2:19" s="1" customFormat="1" x14ac:dyDescent="0.25">
      <c r="B43" s="150" t="s">
        <v>318</v>
      </c>
      <c r="C43" s="239" t="s">
        <v>319</v>
      </c>
      <c r="D43" s="152">
        <f t="shared" si="22"/>
        <v>0</v>
      </c>
      <c r="E43" s="153">
        <f>E44</f>
        <v>0</v>
      </c>
      <c r="F43" s="154">
        <f t="shared" si="24"/>
        <v>0</v>
      </c>
      <c r="G43" s="155">
        <f>G44</f>
        <v>0</v>
      </c>
      <c r="H43" s="156">
        <f>H44</f>
        <v>0</v>
      </c>
      <c r="I43" s="157">
        <f>I44</f>
        <v>0</v>
      </c>
      <c r="J43" s="154">
        <f t="shared" si="16"/>
        <v>0</v>
      </c>
      <c r="K43" s="155">
        <f t="shared" ref="K43:P43" si="27">K44</f>
        <v>0</v>
      </c>
      <c r="L43" s="156">
        <f t="shared" si="27"/>
        <v>0</v>
      </c>
      <c r="M43" s="156">
        <f t="shared" si="27"/>
        <v>0</v>
      </c>
      <c r="N43" s="152">
        <f t="shared" si="27"/>
        <v>0</v>
      </c>
      <c r="O43" s="153">
        <f t="shared" si="27"/>
        <v>0</v>
      </c>
      <c r="P43" s="154">
        <f t="shared" si="27"/>
        <v>0</v>
      </c>
    </row>
    <row r="44" spans="2:19" s="1" customFormat="1" ht="15.75" thickBot="1" x14ac:dyDescent="0.3">
      <c r="B44" s="167" t="s">
        <v>320</v>
      </c>
      <c r="C44" s="168" t="s">
        <v>321</v>
      </c>
      <c r="D44" s="208">
        <f t="shared" si="22"/>
        <v>0</v>
      </c>
      <c r="E44" s="240">
        <v>0</v>
      </c>
      <c r="F44" s="206">
        <f t="shared" si="24"/>
        <v>0</v>
      </c>
      <c r="G44" s="242">
        <v>0</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2"/>
        <v>73.38000000000001</v>
      </c>
      <c r="E45" s="153">
        <f>SUM(E46:E50)</f>
        <v>3.2</v>
      </c>
      <c r="F45" s="154">
        <f t="shared" si="24"/>
        <v>28.770000000000003</v>
      </c>
      <c r="G45" s="155">
        <f>SUM(G46:G50)</f>
        <v>7.86</v>
      </c>
      <c r="H45" s="156">
        <f>SUM(H46:H50)</f>
        <v>2.69</v>
      </c>
      <c r="I45" s="157">
        <f>SUM(I46:I50)</f>
        <v>18.220000000000002</v>
      </c>
      <c r="J45" s="154">
        <f t="shared" si="16"/>
        <v>28.98</v>
      </c>
      <c r="K45" s="155">
        <f t="shared" ref="K45:P45" si="28">SUM(K46:K50)</f>
        <v>11.33</v>
      </c>
      <c r="L45" s="156">
        <f t="shared" si="28"/>
        <v>3.0100000000000002</v>
      </c>
      <c r="M45" s="156">
        <f t="shared" si="28"/>
        <v>14.64</v>
      </c>
      <c r="N45" s="152">
        <f t="shared" si="28"/>
        <v>0</v>
      </c>
      <c r="O45" s="153">
        <f t="shared" si="28"/>
        <v>0</v>
      </c>
      <c r="P45" s="154">
        <f t="shared" si="28"/>
        <v>12.430000000000001</v>
      </c>
    </row>
    <row r="46" spans="2:19" s="1" customFormat="1" x14ac:dyDescent="0.25">
      <c r="B46" s="167" t="s">
        <v>324</v>
      </c>
      <c r="C46" s="168" t="s">
        <v>277</v>
      </c>
      <c r="D46" s="208">
        <f t="shared" si="22"/>
        <v>46.76</v>
      </c>
      <c r="E46" s="240">
        <v>2.41</v>
      </c>
      <c r="F46" s="206">
        <f t="shared" si="24"/>
        <v>19.760000000000002</v>
      </c>
      <c r="G46" s="242">
        <v>0.04</v>
      </c>
      <c r="H46" s="97">
        <v>2.2799999999999998</v>
      </c>
      <c r="I46" s="243">
        <v>17.440000000000001</v>
      </c>
      <c r="J46" s="206">
        <f t="shared" si="16"/>
        <v>23.619999999999997</v>
      </c>
      <c r="K46" s="242">
        <v>10.029999999999999</v>
      </c>
      <c r="L46" s="97">
        <v>0.45</v>
      </c>
      <c r="M46" s="97">
        <v>13.14</v>
      </c>
      <c r="N46" s="244">
        <v>0</v>
      </c>
      <c r="O46" s="240">
        <v>0</v>
      </c>
      <c r="P46" s="241">
        <v>0.97</v>
      </c>
    </row>
    <row r="47" spans="2:19" s="1" customFormat="1" x14ac:dyDescent="0.25">
      <c r="B47" s="167" t="s">
        <v>325</v>
      </c>
      <c r="C47" s="168" t="s">
        <v>281</v>
      </c>
      <c r="D47" s="208">
        <f t="shared" si="22"/>
        <v>26.040000000000003</v>
      </c>
      <c r="E47" s="240">
        <v>0.21</v>
      </c>
      <c r="F47" s="206">
        <f t="shared" si="24"/>
        <v>9.01</v>
      </c>
      <c r="G47" s="242">
        <v>7.82</v>
      </c>
      <c r="H47" s="97">
        <v>0.41</v>
      </c>
      <c r="I47" s="243">
        <v>0.78</v>
      </c>
      <c r="J47" s="206">
        <f t="shared" si="16"/>
        <v>5.36</v>
      </c>
      <c r="K47" s="242">
        <v>1.3</v>
      </c>
      <c r="L47" s="97">
        <v>2.56</v>
      </c>
      <c r="M47" s="97">
        <v>1.5</v>
      </c>
      <c r="N47" s="244">
        <v>0</v>
      </c>
      <c r="O47" s="240">
        <v>0</v>
      </c>
      <c r="P47" s="241">
        <v>11.46</v>
      </c>
    </row>
    <row r="48" spans="2:19" s="1" customFormat="1" x14ac:dyDescent="0.25">
      <c r="B48" s="167" t="s">
        <v>326</v>
      </c>
      <c r="C48" s="250" t="s">
        <v>327</v>
      </c>
      <c r="D48" s="208">
        <f t="shared" si="22"/>
        <v>0.57999999999999996</v>
      </c>
      <c r="E48" s="240">
        <v>0.57999999999999996</v>
      </c>
      <c r="F48" s="206">
        <f t="shared" si="24"/>
        <v>0</v>
      </c>
      <c r="G48" s="242">
        <v>0</v>
      </c>
      <c r="H48" s="97">
        <v>0</v>
      </c>
      <c r="I48" s="243">
        <v>0</v>
      </c>
      <c r="J48" s="206">
        <f t="shared" si="16"/>
        <v>0</v>
      </c>
      <c r="K48" s="242">
        <v>0</v>
      </c>
      <c r="L48" s="97">
        <v>0</v>
      </c>
      <c r="M48" s="97">
        <v>0</v>
      </c>
      <c r="N48" s="244">
        <v>0</v>
      </c>
      <c r="O48" s="240">
        <v>0</v>
      </c>
      <c r="P48" s="241">
        <v>0</v>
      </c>
    </row>
    <row r="49" spans="2:16" s="1" customFormat="1" x14ac:dyDescent="0.25">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2"/>
        <v>129.53</v>
      </c>
      <c r="E51" s="252">
        <v>10.69</v>
      </c>
      <c r="F51" s="154">
        <f t="shared" si="24"/>
        <v>44.39</v>
      </c>
      <c r="G51" s="253">
        <v>10.15</v>
      </c>
      <c r="H51" s="254">
        <v>1.06</v>
      </c>
      <c r="I51" s="255">
        <v>33.18</v>
      </c>
      <c r="J51" s="154">
        <f t="shared" si="16"/>
        <v>74.27</v>
      </c>
      <c r="K51" s="253">
        <v>45.09</v>
      </c>
      <c r="L51" s="254">
        <v>27.79</v>
      </c>
      <c r="M51" s="254">
        <v>1.39</v>
      </c>
      <c r="N51" s="256">
        <v>0</v>
      </c>
      <c r="O51" s="257">
        <v>0</v>
      </c>
      <c r="P51" s="258">
        <v>0.18</v>
      </c>
    </row>
    <row r="52" spans="2:16" s="1" customFormat="1" x14ac:dyDescent="0.25">
      <c r="B52" s="150" t="s">
        <v>333</v>
      </c>
      <c r="C52" s="239" t="s">
        <v>334</v>
      </c>
      <c r="D52" s="152">
        <f t="shared" si="22"/>
        <v>518.38499999999999</v>
      </c>
      <c r="E52" s="153">
        <f>SUM(E53:E56)</f>
        <v>87.934999999999988</v>
      </c>
      <c r="F52" s="154">
        <f t="shared" si="24"/>
        <v>159.44999999999999</v>
      </c>
      <c r="G52" s="155">
        <f>SUM(G53:G56)</f>
        <v>27</v>
      </c>
      <c r="H52" s="156">
        <f>SUM(H53:H56)</f>
        <v>14.290000000000001</v>
      </c>
      <c r="I52" s="157">
        <f>SUM(I53:I56)</f>
        <v>118.16</v>
      </c>
      <c r="J52" s="154">
        <f t="shared" si="16"/>
        <v>248.5</v>
      </c>
      <c r="K52" s="155">
        <f t="shared" ref="K52:P52" si="29">SUM(K53:K56)</f>
        <v>90.390000000000015</v>
      </c>
      <c r="L52" s="156">
        <f t="shared" si="29"/>
        <v>140.07</v>
      </c>
      <c r="M52" s="156">
        <f t="shared" si="29"/>
        <v>18.04</v>
      </c>
      <c r="N52" s="152">
        <f t="shared" si="29"/>
        <v>15.25</v>
      </c>
      <c r="O52" s="153">
        <f t="shared" si="29"/>
        <v>0</v>
      </c>
      <c r="P52" s="154">
        <f t="shared" si="29"/>
        <v>7.25</v>
      </c>
    </row>
    <row r="53" spans="2:16" s="1" customFormat="1" x14ac:dyDescent="0.25">
      <c r="B53" s="259" t="s">
        <v>335</v>
      </c>
      <c r="C53" s="260" t="s">
        <v>336</v>
      </c>
      <c r="D53" s="208">
        <f t="shared" si="22"/>
        <v>505.88499999999999</v>
      </c>
      <c r="E53" s="240">
        <v>85.834999999999994</v>
      </c>
      <c r="F53" s="206">
        <f t="shared" si="24"/>
        <v>155.76999999999998</v>
      </c>
      <c r="G53" s="242">
        <v>26.34</v>
      </c>
      <c r="H53" s="97">
        <v>13.91</v>
      </c>
      <c r="I53" s="243">
        <v>115.52</v>
      </c>
      <c r="J53" s="206">
        <f t="shared" si="16"/>
        <v>242.32000000000002</v>
      </c>
      <c r="K53" s="242">
        <v>87.62</v>
      </c>
      <c r="L53" s="97">
        <v>137.11000000000001</v>
      </c>
      <c r="M53" s="97">
        <v>17.59</v>
      </c>
      <c r="N53" s="244">
        <v>14.91</v>
      </c>
      <c r="O53" s="240">
        <v>0</v>
      </c>
      <c r="P53" s="241">
        <v>7.05</v>
      </c>
    </row>
    <row r="54" spans="2:16" s="1" customFormat="1" x14ac:dyDescent="0.25">
      <c r="B54" s="259" t="s">
        <v>337</v>
      </c>
      <c r="C54" s="260" t="s">
        <v>338</v>
      </c>
      <c r="D54" s="208">
        <f t="shared" si="22"/>
        <v>8.93</v>
      </c>
      <c r="E54" s="240">
        <v>1.52</v>
      </c>
      <c r="F54" s="206">
        <f t="shared" si="24"/>
        <v>2.75</v>
      </c>
      <c r="G54" s="242">
        <v>0.46</v>
      </c>
      <c r="H54" s="97">
        <v>0.25</v>
      </c>
      <c r="I54" s="243">
        <v>2.04</v>
      </c>
      <c r="J54" s="206">
        <f t="shared" si="16"/>
        <v>4.2699999999999996</v>
      </c>
      <c r="K54" s="242">
        <v>1.54</v>
      </c>
      <c r="L54" s="97">
        <v>2.42</v>
      </c>
      <c r="M54" s="97">
        <v>0.31</v>
      </c>
      <c r="N54" s="244">
        <v>0.26</v>
      </c>
      <c r="O54" s="240">
        <v>0</v>
      </c>
      <c r="P54" s="241">
        <v>0.13</v>
      </c>
    </row>
    <row r="55" spans="2:16" s="1" customFormat="1" x14ac:dyDescent="0.25">
      <c r="B55" s="259" t="s">
        <v>339</v>
      </c>
      <c r="C55" s="260" t="s">
        <v>340</v>
      </c>
      <c r="D55" s="208">
        <f t="shared" si="22"/>
        <v>2.3199999999999998</v>
      </c>
      <c r="E55" s="240">
        <v>0.57999999999999996</v>
      </c>
      <c r="F55" s="206">
        <f t="shared" si="24"/>
        <v>0.54</v>
      </c>
      <c r="G55" s="242">
        <v>0.14000000000000001</v>
      </c>
      <c r="H55" s="97">
        <v>7.0000000000000007E-2</v>
      </c>
      <c r="I55" s="243">
        <v>0.33</v>
      </c>
      <c r="J55" s="206">
        <f t="shared" si="16"/>
        <v>1.05</v>
      </c>
      <c r="K55" s="242">
        <v>0.64</v>
      </c>
      <c r="L55" s="97">
        <v>0.34</v>
      </c>
      <c r="M55" s="97">
        <v>7.0000000000000007E-2</v>
      </c>
      <c r="N55" s="244">
        <v>0.08</v>
      </c>
      <c r="O55" s="240">
        <v>0</v>
      </c>
      <c r="P55" s="241">
        <v>7.0000000000000007E-2</v>
      </c>
    </row>
    <row r="56" spans="2:16" s="1" customFormat="1" ht="15.75" thickBot="1" x14ac:dyDescent="0.3">
      <c r="B56" s="259" t="s">
        <v>341</v>
      </c>
      <c r="C56" s="250" t="s">
        <v>342</v>
      </c>
      <c r="D56" s="208">
        <f t="shared" si="22"/>
        <v>1.25</v>
      </c>
      <c r="E56" s="240">
        <v>0</v>
      </c>
      <c r="F56" s="206">
        <f t="shared" si="24"/>
        <v>0.39</v>
      </c>
      <c r="G56" s="242">
        <v>0.06</v>
      </c>
      <c r="H56" s="97">
        <v>0.06</v>
      </c>
      <c r="I56" s="243">
        <v>0.27</v>
      </c>
      <c r="J56" s="206">
        <f t="shared" si="16"/>
        <v>0.8600000000000001</v>
      </c>
      <c r="K56" s="242">
        <v>0.59</v>
      </c>
      <c r="L56" s="97">
        <v>0.2</v>
      </c>
      <c r="M56" s="97">
        <v>7.0000000000000007E-2</v>
      </c>
      <c r="N56" s="244">
        <v>0</v>
      </c>
      <c r="O56" s="240">
        <v>0</v>
      </c>
      <c r="P56" s="241">
        <v>0</v>
      </c>
    </row>
    <row r="57" spans="2:16" s="1" customFormat="1" x14ac:dyDescent="0.25">
      <c r="B57" s="150" t="s">
        <v>343</v>
      </c>
      <c r="C57" s="239" t="s">
        <v>344</v>
      </c>
      <c r="D57" s="152">
        <f t="shared" si="22"/>
        <v>67.930000000000007</v>
      </c>
      <c r="E57" s="153">
        <f>SUM(E58:E62)</f>
        <v>0</v>
      </c>
      <c r="F57" s="154">
        <f t="shared" si="24"/>
        <v>60.019999999999996</v>
      </c>
      <c r="G57" s="155">
        <f>SUM(G58:G62)</f>
        <v>53.71</v>
      </c>
      <c r="H57" s="156">
        <f>SUM(H58:H62)</f>
        <v>0.57999999999999996</v>
      </c>
      <c r="I57" s="157">
        <f>SUM(I58:I62)</f>
        <v>5.73</v>
      </c>
      <c r="J57" s="154">
        <f t="shared" ref="J57:J88" si="30">SUM(K57:M57)</f>
        <v>7.9</v>
      </c>
      <c r="K57" s="155">
        <f t="shared" ref="K57:P57" si="31">SUM(K58:K62)</f>
        <v>1.9200000000000002</v>
      </c>
      <c r="L57" s="156">
        <f t="shared" si="31"/>
        <v>5.98</v>
      </c>
      <c r="M57" s="156">
        <f t="shared" si="31"/>
        <v>0</v>
      </c>
      <c r="N57" s="152">
        <f t="shared" si="31"/>
        <v>0</v>
      </c>
      <c r="O57" s="153">
        <f t="shared" si="31"/>
        <v>0</v>
      </c>
      <c r="P57" s="154">
        <f t="shared" si="31"/>
        <v>0.01</v>
      </c>
    </row>
    <row r="58" spans="2:16" s="1" customFormat="1" x14ac:dyDescent="0.25">
      <c r="B58" s="259" t="s">
        <v>345</v>
      </c>
      <c r="C58" s="260" t="s">
        <v>346</v>
      </c>
      <c r="D58" s="169">
        <f t="shared" si="22"/>
        <v>51.57</v>
      </c>
      <c r="E58" s="245">
        <v>0</v>
      </c>
      <c r="F58" s="206">
        <f t="shared" si="24"/>
        <v>51.57</v>
      </c>
      <c r="G58" s="248">
        <v>51.57</v>
      </c>
      <c r="H58" s="246">
        <v>0</v>
      </c>
      <c r="I58" s="247">
        <v>0</v>
      </c>
      <c r="J58" s="206">
        <f t="shared" si="30"/>
        <v>0</v>
      </c>
      <c r="K58" s="248">
        <v>0</v>
      </c>
      <c r="L58" s="246">
        <v>0</v>
      </c>
      <c r="M58" s="246">
        <v>0</v>
      </c>
      <c r="N58" s="249">
        <v>0</v>
      </c>
      <c r="O58" s="245">
        <v>0</v>
      </c>
      <c r="P58" s="261">
        <v>0</v>
      </c>
    </row>
    <row r="59" spans="2:16" s="1" customFormat="1" x14ac:dyDescent="0.25">
      <c r="B59" s="259" t="s">
        <v>347</v>
      </c>
      <c r="C59" s="260" t="s">
        <v>348</v>
      </c>
      <c r="D59" s="169">
        <f t="shared" si="22"/>
        <v>5.98</v>
      </c>
      <c r="E59" s="245">
        <v>0</v>
      </c>
      <c r="F59" s="206">
        <f t="shared" si="24"/>
        <v>0</v>
      </c>
      <c r="G59" s="248">
        <v>0</v>
      </c>
      <c r="H59" s="246">
        <v>0</v>
      </c>
      <c r="I59" s="247">
        <v>0</v>
      </c>
      <c r="J59" s="206">
        <f t="shared" si="30"/>
        <v>5.98</v>
      </c>
      <c r="K59" s="248">
        <v>0</v>
      </c>
      <c r="L59" s="246">
        <v>5.98</v>
      </c>
      <c r="M59" s="246">
        <v>0</v>
      </c>
      <c r="N59" s="249">
        <v>0</v>
      </c>
      <c r="O59" s="245">
        <v>0</v>
      </c>
      <c r="P59" s="261">
        <v>0</v>
      </c>
    </row>
    <row r="60" spans="2:16" s="1" customFormat="1" x14ac:dyDescent="0.25">
      <c r="B60" s="259" t="s">
        <v>349</v>
      </c>
      <c r="C60" s="260" t="s">
        <v>350</v>
      </c>
      <c r="D60" s="169">
        <f t="shared" si="22"/>
        <v>6.8999999999999995</v>
      </c>
      <c r="E60" s="245">
        <v>0</v>
      </c>
      <c r="F60" s="206">
        <f t="shared" si="24"/>
        <v>6.85</v>
      </c>
      <c r="G60" s="248">
        <v>2.14</v>
      </c>
      <c r="H60" s="246">
        <v>0.57999999999999996</v>
      </c>
      <c r="I60" s="247">
        <v>4.13</v>
      </c>
      <c r="J60" s="206">
        <f t="shared" si="30"/>
        <v>0.05</v>
      </c>
      <c r="K60" s="248">
        <v>0.05</v>
      </c>
      <c r="L60" s="246">
        <v>0</v>
      </c>
      <c r="M60" s="246">
        <v>0</v>
      </c>
      <c r="N60" s="249">
        <v>0</v>
      </c>
      <c r="O60" s="245">
        <v>0</v>
      </c>
      <c r="P60" s="261">
        <v>0</v>
      </c>
    </row>
    <row r="61" spans="2:16" s="1" customFormat="1" x14ac:dyDescent="0.25">
      <c r="B61" s="259" t="s">
        <v>351</v>
      </c>
      <c r="C61" s="260" t="s">
        <v>352</v>
      </c>
      <c r="D61" s="169">
        <f t="shared" si="22"/>
        <v>0</v>
      </c>
      <c r="E61" s="245">
        <v>0</v>
      </c>
      <c r="F61" s="206">
        <f t="shared" si="24"/>
        <v>0</v>
      </c>
      <c r="G61" s="248">
        <v>0</v>
      </c>
      <c r="H61" s="246">
        <v>0</v>
      </c>
      <c r="I61" s="247">
        <v>0</v>
      </c>
      <c r="J61" s="206">
        <f t="shared" si="30"/>
        <v>0</v>
      </c>
      <c r="K61" s="248">
        <v>0</v>
      </c>
      <c r="L61" s="246">
        <v>0</v>
      </c>
      <c r="M61" s="246">
        <v>0</v>
      </c>
      <c r="N61" s="249">
        <v>0</v>
      </c>
      <c r="O61" s="245">
        <v>0</v>
      </c>
      <c r="P61" s="261">
        <v>0</v>
      </c>
    </row>
    <row r="62" spans="2:16" s="1" customFormat="1" ht="15.75" thickBot="1" x14ac:dyDescent="0.3">
      <c r="B62" s="262" t="s">
        <v>353</v>
      </c>
      <c r="C62" s="250" t="s">
        <v>354</v>
      </c>
      <c r="D62" s="177">
        <f t="shared" si="22"/>
        <v>3.48</v>
      </c>
      <c r="E62" s="263">
        <v>0</v>
      </c>
      <c r="F62" s="216">
        <f t="shared" si="24"/>
        <v>1.6</v>
      </c>
      <c r="G62" s="264">
        <v>0</v>
      </c>
      <c r="H62" s="265">
        <v>0</v>
      </c>
      <c r="I62" s="266">
        <v>1.6</v>
      </c>
      <c r="J62" s="216">
        <f t="shared" si="30"/>
        <v>1.87</v>
      </c>
      <c r="K62" s="264">
        <v>1.87</v>
      </c>
      <c r="L62" s="265">
        <v>0</v>
      </c>
      <c r="M62" s="265">
        <v>0</v>
      </c>
      <c r="N62" s="267">
        <v>0</v>
      </c>
      <c r="O62" s="263">
        <v>0</v>
      </c>
      <c r="P62" s="268">
        <v>0.01</v>
      </c>
    </row>
    <row r="63" spans="2:16" s="1" customFormat="1" x14ac:dyDescent="0.25">
      <c r="B63" s="150" t="s">
        <v>355</v>
      </c>
      <c r="C63" s="239" t="s">
        <v>356</v>
      </c>
      <c r="D63" s="152">
        <f t="shared" si="22"/>
        <v>0</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0</v>
      </c>
    </row>
    <row r="64" spans="2:16" s="1" customFormat="1" x14ac:dyDescent="0.25">
      <c r="B64" s="259" t="s">
        <v>357</v>
      </c>
      <c r="C64" s="260" t="s">
        <v>358</v>
      </c>
      <c r="D64" s="169">
        <f t="shared" si="22"/>
        <v>0</v>
      </c>
      <c r="E64" s="269">
        <v>0</v>
      </c>
      <c r="F64" s="171">
        <f t="shared" si="24"/>
        <v>0</v>
      </c>
      <c r="G64" s="270">
        <v>0</v>
      </c>
      <c r="H64" s="271">
        <v>0</v>
      </c>
      <c r="I64" s="272">
        <v>0</v>
      </c>
      <c r="J64" s="171">
        <f t="shared" si="30"/>
        <v>0</v>
      </c>
      <c r="K64" s="270">
        <v>0</v>
      </c>
      <c r="L64" s="271">
        <v>0</v>
      </c>
      <c r="M64" s="271">
        <v>0</v>
      </c>
      <c r="N64" s="273">
        <v>0</v>
      </c>
      <c r="O64" s="269">
        <v>0</v>
      </c>
      <c r="P64" s="274">
        <v>0</v>
      </c>
    </row>
    <row r="65" spans="2:16" s="1" customFormat="1" ht="15.75" thickBot="1" x14ac:dyDescent="0.3">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0</v>
      </c>
      <c r="E66" s="153">
        <f>SUM(E67:E80)</f>
        <v>0</v>
      </c>
      <c r="F66" s="154">
        <f t="shared" si="24"/>
        <v>0</v>
      </c>
      <c r="G66" s="155">
        <f>SUM(G67:G80)</f>
        <v>0</v>
      </c>
      <c r="H66" s="156">
        <f>SUM(H67:H80)</f>
        <v>0</v>
      </c>
      <c r="I66" s="157">
        <f>SUM(I67:I80)</f>
        <v>0</v>
      </c>
      <c r="J66" s="154">
        <f t="shared" si="30"/>
        <v>0</v>
      </c>
      <c r="K66" s="155">
        <f t="shared" ref="K66:P66" si="34">SUM(K67:K80)</f>
        <v>0</v>
      </c>
      <c r="L66" s="156">
        <f t="shared" si="34"/>
        <v>0</v>
      </c>
      <c r="M66" s="156">
        <f t="shared" si="34"/>
        <v>0</v>
      </c>
      <c r="N66" s="152">
        <f t="shared" si="34"/>
        <v>0</v>
      </c>
      <c r="O66" s="153">
        <f t="shared" si="34"/>
        <v>0</v>
      </c>
      <c r="P66" s="154">
        <f t="shared" si="34"/>
        <v>0</v>
      </c>
    </row>
    <row r="67" spans="2:16" s="1" customFormat="1" x14ac:dyDescent="0.25">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x14ac:dyDescent="0.25">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x14ac:dyDescent="0.25">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x14ac:dyDescent="0.25">
      <c r="B70" s="259" t="s">
        <v>369</v>
      </c>
      <c r="C70" s="260" t="s">
        <v>370</v>
      </c>
      <c r="D70" s="169">
        <f t="shared" si="33"/>
        <v>0</v>
      </c>
      <c r="E70" s="281">
        <v>0</v>
      </c>
      <c r="F70" s="171">
        <f t="shared" si="35"/>
        <v>0</v>
      </c>
      <c r="G70" s="270">
        <v>0</v>
      </c>
      <c r="H70" s="271">
        <v>0</v>
      </c>
      <c r="I70" s="272">
        <v>0</v>
      </c>
      <c r="J70" s="171">
        <f t="shared" si="30"/>
        <v>0</v>
      </c>
      <c r="K70" s="270">
        <v>0</v>
      </c>
      <c r="L70" s="271">
        <v>0</v>
      </c>
      <c r="M70" s="271">
        <v>0</v>
      </c>
      <c r="N70" s="273">
        <v>0</v>
      </c>
      <c r="O70" s="269">
        <v>0</v>
      </c>
      <c r="P70" s="274">
        <v>0</v>
      </c>
    </row>
    <row r="71" spans="2:16" s="1" customFormat="1" x14ac:dyDescent="0.25">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x14ac:dyDescent="0.25">
      <c r="B72" s="259" t="s">
        <v>373</v>
      </c>
      <c r="C72" s="260" t="s">
        <v>374</v>
      </c>
      <c r="D72" s="169">
        <f t="shared" si="33"/>
        <v>0</v>
      </c>
      <c r="E72" s="281">
        <v>0</v>
      </c>
      <c r="F72" s="171">
        <f t="shared" si="35"/>
        <v>0</v>
      </c>
      <c r="G72" s="270">
        <v>0</v>
      </c>
      <c r="H72" s="271">
        <v>0</v>
      </c>
      <c r="I72" s="272">
        <v>0</v>
      </c>
      <c r="J72" s="171">
        <f t="shared" si="30"/>
        <v>0</v>
      </c>
      <c r="K72" s="270">
        <v>0</v>
      </c>
      <c r="L72" s="271">
        <v>0</v>
      </c>
      <c r="M72" s="271">
        <v>0</v>
      </c>
      <c r="N72" s="273">
        <v>0</v>
      </c>
      <c r="O72" s="269">
        <v>0</v>
      </c>
      <c r="P72" s="274">
        <v>0</v>
      </c>
    </row>
    <row r="73" spans="2:16" s="1" customFormat="1" x14ac:dyDescent="0.25">
      <c r="B73" s="259" t="s">
        <v>375</v>
      </c>
      <c r="C73" s="260" t="s">
        <v>376</v>
      </c>
      <c r="D73" s="169">
        <f t="shared" si="33"/>
        <v>0</v>
      </c>
      <c r="E73" s="281">
        <v>0</v>
      </c>
      <c r="F73" s="171">
        <f t="shared" si="35"/>
        <v>0</v>
      </c>
      <c r="G73" s="270">
        <v>0</v>
      </c>
      <c r="H73" s="271">
        <v>0</v>
      </c>
      <c r="I73" s="272">
        <v>0</v>
      </c>
      <c r="J73" s="171">
        <f t="shared" si="30"/>
        <v>0</v>
      </c>
      <c r="K73" s="270">
        <v>0</v>
      </c>
      <c r="L73" s="271">
        <v>0</v>
      </c>
      <c r="M73" s="271">
        <v>0</v>
      </c>
      <c r="N73" s="273">
        <v>0</v>
      </c>
      <c r="O73" s="269">
        <v>0</v>
      </c>
      <c r="P73" s="274">
        <v>0</v>
      </c>
    </row>
    <row r="74" spans="2:16" s="1" customFormat="1" x14ac:dyDescent="0.25">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0</v>
      </c>
      <c r="E75" s="281">
        <v>0</v>
      </c>
      <c r="F75" s="171">
        <f t="shared" si="35"/>
        <v>0</v>
      </c>
      <c r="G75" s="270">
        <v>0</v>
      </c>
      <c r="H75" s="271">
        <v>0</v>
      </c>
      <c r="I75" s="272">
        <v>0</v>
      </c>
      <c r="J75" s="171">
        <f t="shared" si="30"/>
        <v>0</v>
      </c>
      <c r="K75" s="270">
        <v>0</v>
      </c>
      <c r="L75" s="271">
        <v>0</v>
      </c>
      <c r="M75" s="271">
        <v>0</v>
      </c>
      <c r="N75" s="273">
        <v>0</v>
      </c>
      <c r="O75" s="269">
        <v>0</v>
      </c>
      <c r="P75" s="274">
        <v>0</v>
      </c>
    </row>
    <row r="76" spans="2:16" s="1" customFormat="1" x14ac:dyDescent="0.25">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x14ac:dyDescent="0.25">
      <c r="B77" s="259" t="s">
        <v>383</v>
      </c>
      <c r="C77" s="260" t="s">
        <v>384</v>
      </c>
      <c r="D77" s="169">
        <f t="shared" si="33"/>
        <v>0</v>
      </c>
      <c r="E77" s="281">
        <v>0</v>
      </c>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0</v>
      </c>
      <c r="E78" s="281">
        <v>0</v>
      </c>
      <c r="F78" s="171">
        <f t="shared" si="35"/>
        <v>0</v>
      </c>
      <c r="G78" s="270">
        <v>0</v>
      </c>
      <c r="H78" s="271">
        <v>0</v>
      </c>
      <c r="I78" s="272">
        <v>0</v>
      </c>
      <c r="J78" s="171">
        <f t="shared" si="30"/>
        <v>0</v>
      </c>
      <c r="K78" s="270">
        <v>0</v>
      </c>
      <c r="L78" s="271">
        <v>0</v>
      </c>
      <c r="M78" s="271">
        <v>0</v>
      </c>
      <c r="N78" s="273">
        <v>0</v>
      </c>
      <c r="O78" s="269">
        <v>0</v>
      </c>
      <c r="P78" s="274">
        <v>0</v>
      </c>
    </row>
    <row r="79" spans="2:16" s="1" customFormat="1" x14ac:dyDescent="0.25">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x14ac:dyDescent="0.3">
      <c r="B80" s="282" t="s">
        <v>389</v>
      </c>
      <c r="C80" s="283" t="s">
        <v>390</v>
      </c>
      <c r="D80" s="284">
        <f t="shared" si="33"/>
        <v>0</v>
      </c>
      <c r="E80" s="285">
        <v>0</v>
      </c>
      <c r="F80" s="286">
        <f t="shared" si="35"/>
        <v>0</v>
      </c>
      <c r="G80" s="287">
        <v>0</v>
      </c>
      <c r="H80" s="288">
        <v>0</v>
      </c>
      <c r="I80" s="289">
        <v>0</v>
      </c>
      <c r="J80" s="286">
        <f t="shared" si="30"/>
        <v>0</v>
      </c>
      <c r="K80" s="287">
        <v>0</v>
      </c>
      <c r="L80" s="288">
        <v>0</v>
      </c>
      <c r="M80" s="288">
        <v>0</v>
      </c>
      <c r="N80" s="290">
        <v>0</v>
      </c>
      <c r="O80" s="291">
        <v>0</v>
      </c>
      <c r="P80" s="292">
        <v>0</v>
      </c>
    </row>
    <row r="81" spans="1:19" s="1" customFormat="1" ht="15.75" thickBot="1" x14ac:dyDescent="0.3">
      <c r="B81" s="293" t="s">
        <v>391</v>
      </c>
      <c r="C81" s="294" t="s">
        <v>392</v>
      </c>
      <c r="D81" s="295">
        <f t="shared" si="33"/>
        <v>0</v>
      </c>
      <c r="E81" s="296">
        <v>0</v>
      </c>
      <c r="F81" s="297">
        <f t="shared" si="35"/>
        <v>0</v>
      </c>
      <c r="G81" s="298">
        <v>0</v>
      </c>
      <c r="H81" s="299">
        <v>0</v>
      </c>
      <c r="I81" s="300">
        <v>0</v>
      </c>
      <c r="J81" s="297">
        <f t="shared" si="30"/>
        <v>0</v>
      </c>
      <c r="K81" s="298">
        <v>0</v>
      </c>
      <c r="L81" s="299">
        <v>0</v>
      </c>
      <c r="M81" s="299">
        <v>0</v>
      </c>
      <c r="N81" s="301">
        <v>0</v>
      </c>
      <c r="O81" s="296">
        <v>0</v>
      </c>
      <c r="P81" s="302">
        <v>0</v>
      </c>
    </row>
    <row r="82" spans="1:19" s="1" customFormat="1" x14ac:dyDescent="0.25">
      <c r="A82" s="303"/>
      <c r="B82" s="150" t="s">
        <v>393</v>
      </c>
      <c r="C82" s="204" t="s">
        <v>394</v>
      </c>
      <c r="D82" s="152">
        <f t="shared" si="33"/>
        <v>24.68</v>
      </c>
      <c r="E82" s="153">
        <f>SUM(E83:E89)</f>
        <v>11.51</v>
      </c>
      <c r="F82" s="154">
        <f t="shared" si="35"/>
        <v>10.270000000000001</v>
      </c>
      <c r="G82" s="155">
        <f>SUM(G83:G89)</f>
        <v>1.8</v>
      </c>
      <c r="H82" s="156">
        <f>SUM(H83:H89)</f>
        <v>0</v>
      </c>
      <c r="I82" s="157">
        <f>SUM(I83:I89)</f>
        <v>8.4700000000000006</v>
      </c>
      <c r="J82" s="154">
        <f t="shared" si="30"/>
        <v>2.54</v>
      </c>
      <c r="K82" s="155">
        <f t="shared" ref="K82:P82" si="36">SUM(K83:K89)</f>
        <v>0.72</v>
      </c>
      <c r="L82" s="156">
        <f t="shared" si="36"/>
        <v>1.8</v>
      </c>
      <c r="M82" s="156">
        <f t="shared" si="36"/>
        <v>0.02</v>
      </c>
      <c r="N82" s="152">
        <f t="shared" si="36"/>
        <v>0.25</v>
      </c>
      <c r="O82" s="153">
        <f t="shared" si="36"/>
        <v>0</v>
      </c>
      <c r="P82" s="154">
        <f t="shared" si="36"/>
        <v>0.11</v>
      </c>
    </row>
    <row r="83" spans="1:19" s="1" customFormat="1" x14ac:dyDescent="0.25">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x14ac:dyDescent="0.25">
      <c r="A84" s="303"/>
      <c r="B84" s="304" t="s">
        <v>397</v>
      </c>
      <c r="C84" s="305" t="s">
        <v>398</v>
      </c>
      <c r="D84" s="306">
        <f t="shared" ref="D84:D89" si="37">E84+F84+J84+N84+O84+P84</f>
        <v>0.75</v>
      </c>
      <c r="E84" s="307">
        <v>0.34</v>
      </c>
      <c r="F84" s="308">
        <f t="shared" si="35"/>
        <v>0</v>
      </c>
      <c r="G84" s="309">
        <v>0</v>
      </c>
      <c r="H84" s="310">
        <v>0</v>
      </c>
      <c r="I84" s="311">
        <v>0</v>
      </c>
      <c r="J84" s="308">
        <f t="shared" si="30"/>
        <v>0.33</v>
      </c>
      <c r="K84" s="309">
        <v>0.31</v>
      </c>
      <c r="L84" s="310">
        <v>0</v>
      </c>
      <c r="M84" s="310">
        <v>0.02</v>
      </c>
      <c r="N84" s="312">
        <v>0</v>
      </c>
      <c r="O84" s="307">
        <v>0</v>
      </c>
      <c r="P84" s="313">
        <v>0.08</v>
      </c>
    </row>
    <row r="85" spans="1:19" s="1" customFormat="1" x14ac:dyDescent="0.25">
      <c r="A85" s="303"/>
      <c r="B85" s="314" t="s">
        <v>399</v>
      </c>
      <c r="C85" s="315" t="s">
        <v>400</v>
      </c>
      <c r="D85" s="306">
        <f t="shared" si="37"/>
        <v>6.6800000000000006</v>
      </c>
      <c r="E85" s="240">
        <v>0</v>
      </c>
      <c r="F85" s="206">
        <f t="shared" si="35"/>
        <v>6.36</v>
      </c>
      <c r="G85" s="309">
        <v>0</v>
      </c>
      <c r="H85" s="310">
        <v>0</v>
      </c>
      <c r="I85" s="311">
        <v>6.36</v>
      </c>
      <c r="J85" s="206">
        <f t="shared" si="30"/>
        <v>7.0000000000000007E-2</v>
      </c>
      <c r="K85" s="309">
        <v>0</v>
      </c>
      <c r="L85" s="310">
        <v>7.0000000000000007E-2</v>
      </c>
      <c r="M85" s="310">
        <v>0</v>
      </c>
      <c r="N85" s="312">
        <v>0.25</v>
      </c>
      <c r="O85" s="307">
        <v>0</v>
      </c>
      <c r="P85" s="313">
        <v>0</v>
      </c>
    </row>
    <row r="86" spans="1:19" s="1" customFormat="1" x14ac:dyDescent="0.25">
      <c r="A86" s="303"/>
      <c r="B86" s="316" t="s">
        <v>401</v>
      </c>
      <c r="C86" s="317" t="s">
        <v>402</v>
      </c>
      <c r="D86" s="306">
        <f t="shared" si="37"/>
        <v>0</v>
      </c>
      <c r="E86" s="318">
        <v>0</v>
      </c>
      <c r="F86" s="216">
        <f t="shared" si="35"/>
        <v>0</v>
      </c>
      <c r="G86" s="309">
        <v>0</v>
      </c>
      <c r="H86" s="310">
        <v>0</v>
      </c>
      <c r="I86" s="311">
        <v>0</v>
      </c>
      <c r="J86" s="216">
        <f t="shared" si="30"/>
        <v>0</v>
      </c>
      <c r="K86" s="309">
        <v>0</v>
      </c>
      <c r="L86" s="310">
        <v>0</v>
      </c>
      <c r="M86" s="310">
        <v>0</v>
      </c>
      <c r="N86" s="312">
        <v>0</v>
      </c>
      <c r="O86" s="307">
        <v>0</v>
      </c>
      <c r="P86" s="313">
        <v>0</v>
      </c>
    </row>
    <row r="87" spans="1:19" s="1" customFormat="1" x14ac:dyDescent="0.25">
      <c r="A87" s="303"/>
      <c r="B87" s="316" t="s">
        <v>403</v>
      </c>
      <c r="C87" s="213" t="s">
        <v>404</v>
      </c>
      <c r="D87" s="306">
        <f t="shared" si="37"/>
        <v>17.25</v>
      </c>
      <c r="E87" s="318">
        <v>11.17</v>
      </c>
      <c r="F87" s="216">
        <f t="shared" si="35"/>
        <v>3.91</v>
      </c>
      <c r="G87" s="309">
        <v>1.8</v>
      </c>
      <c r="H87" s="310">
        <v>0</v>
      </c>
      <c r="I87" s="311">
        <v>2.11</v>
      </c>
      <c r="J87" s="216">
        <f t="shared" si="30"/>
        <v>2.14</v>
      </c>
      <c r="K87" s="309">
        <v>0.41</v>
      </c>
      <c r="L87" s="310">
        <v>1.73</v>
      </c>
      <c r="M87" s="310">
        <v>0</v>
      </c>
      <c r="N87" s="312">
        <v>0</v>
      </c>
      <c r="O87" s="307">
        <v>0</v>
      </c>
      <c r="P87" s="313">
        <v>0.03</v>
      </c>
    </row>
    <row r="88" spans="1:19" s="1" customFormat="1" x14ac:dyDescent="0.25">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0</v>
      </c>
      <c r="E89" s="318">
        <v>0</v>
      </c>
      <c r="F89" s="216">
        <f t="shared" si="35"/>
        <v>0</v>
      </c>
      <c r="G89" s="319">
        <v>0</v>
      </c>
      <c r="H89" s="320">
        <v>0</v>
      </c>
      <c r="I89" s="321">
        <v>0</v>
      </c>
      <c r="J89" s="216">
        <f t="shared" ref="J89:J120" si="38">SUM(K89:M89)</f>
        <v>0</v>
      </c>
      <c r="K89" s="319">
        <v>0</v>
      </c>
      <c r="L89" s="320">
        <v>0</v>
      </c>
      <c r="M89" s="320">
        <v>0</v>
      </c>
      <c r="N89" s="322">
        <v>0</v>
      </c>
      <c r="O89" s="318">
        <v>0</v>
      </c>
      <c r="P89" s="323">
        <v>0</v>
      </c>
    </row>
    <row r="90" spans="1:19" s="1" customFormat="1" ht="42" customHeight="1" thickTop="1" thickBot="1" x14ac:dyDescent="0.3">
      <c r="A90" s="303"/>
      <c r="B90" s="134" t="s">
        <v>59</v>
      </c>
      <c r="C90" s="135" t="s">
        <v>409</v>
      </c>
      <c r="D90" s="324">
        <f>D91+D94+D97+D99+D105+D106+D111+D115+D118+D133+D134</f>
        <v>166.28</v>
      </c>
      <c r="E90" s="228">
        <f>E91+E94+E97+E99+E105+E106+E111+E115+E118+E133+E134</f>
        <v>1.6628000000000001</v>
      </c>
      <c r="F90" s="134">
        <f t="shared" si="35"/>
        <v>56.535200000000003</v>
      </c>
      <c r="G90" s="229">
        <f>G91+G94+G97+G99+G105+G106+G111+G115+G118+G133+G134</f>
        <v>4.9883999999999995</v>
      </c>
      <c r="H90" s="230">
        <f>H91+H94+H97+H99+H105+H106+H111+H115+H118+H133+H134</f>
        <v>1.6628000000000001</v>
      </c>
      <c r="I90" s="231">
        <f>I91+I94+I97+I99+I105+I106+I111+I115+I118+I133+I134</f>
        <v>49.884</v>
      </c>
      <c r="J90" s="134">
        <f t="shared" si="38"/>
        <v>108.08199999999999</v>
      </c>
      <c r="K90" s="229">
        <f t="shared" ref="K90:P90" si="39">K91+K94+K97+K99+K105+K106+K111+K115+K118+K133+K134</f>
        <v>66.512</v>
      </c>
      <c r="L90" s="230">
        <f t="shared" si="39"/>
        <v>39.907199999999996</v>
      </c>
      <c r="M90" s="230">
        <f t="shared" si="39"/>
        <v>1.6628000000000001</v>
      </c>
      <c r="N90" s="227">
        <f t="shared" si="39"/>
        <v>0</v>
      </c>
      <c r="O90" s="228">
        <f t="shared" si="39"/>
        <v>0</v>
      </c>
      <c r="P90" s="134">
        <f t="shared" si="39"/>
        <v>0</v>
      </c>
      <c r="Q90" s="325"/>
      <c r="R90" s="326"/>
    </row>
    <row r="91" spans="1:19" s="1" customFormat="1" ht="15.75" thickTop="1" x14ac:dyDescent="0.25">
      <c r="B91" s="142" t="s">
        <v>150</v>
      </c>
      <c r="C91" s="327" t="s">
        <v>303</v>
      </c>
      <c r="D91" s="328">
        <f>D92+D93</f>
        <v>3.28</v>
      </c>
      <c r="E91" s="329">
        <f>E92+E93</f>
        <v>3.2799999999999996E-2</v>
      </c>
      <c r="F91" s="330">
        <f t="shared" si="35"/>
        <v>1.1151999999999997</v>
      </c>
      <c r="G91" s="331">
        <f>G92+G93</f>
        <v>9.8400000000000001E-2</v>
      </c>
      <c r="H91" s="332">
        <f>H92+H93</f>
        <v>3.2799999999999996E-2</v>
      </c>
      <c r="I91" s="333">
        <f>I92+I93</f>
        <v>0.98399999999999987</v>
      </c>
      <c r="J91" s="330">
        <f t="shared" si="38"/>
        <v>2.1319999999999997</v>
      </c>
      <c r="K91" s="331">
        <f t="shared" ref="K91:P91" si="40">K92+K93</f>
        <v>1.3119999999999998</v>
      </c>
      <c r="L91" s="332">
        <f t="shared" si="40"/>
        <v>0.78720000000000001</v>
      </c>
      <c r="M91" s="332">
        <f t="shared" si="40"/>
        <v>3.2799999999999996E-2</v>
      </c>
      <c r="N91" s="334">
        <f t="shared" si="40"/>
        <v>0</v>
      </c>
      <c r="O91" s="329">
        <f t="shared" si="40"/>
        <v>0</v>
      </c>
      <c r="P91" s="330">
        <f t="shared" si="40"/>
        <v>0</v>
      </c>
      <c r="Q91" s="325"/>
      <c r="R91" s="326"/>
      <c r="S91" s="205"/>
    </row>
    <row r="92" spans="1:19" s="1" customFormat="1" ht="32.25" customHeight="1" x14ac:dyDescent="0.25">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x14ac:dyDescent="0.3">
      <c r="B93" s="167" t="s">
        <v>411</v>
      </c>
      <c r="C93" s="168" t="s">
        <v>306</v>
      </c>
      <c r="D93" s="335">
        <v>3.28</v>
      </c>
      <c r="E93" s="209">
        <f>IFERROR($D$93*E144/100, 0)</f>
        <v>3.2799999999999996E-2</v>
      </c>
      <c r="F93" s="206">
        <f t="shared" si="35"/>
        <v>1.1151999999999997</v>
      </c>
      <c r="G93" s="210">
        <f>IFERROR($D$93*G144/100, 0)</f>
        <v>9.8400000000000001E-2</v>
      </c>
      <c r="H93" s="211">
        <f>IFERROR($D$93*H144/100, 0)</f>
        <v>3.2799999999999996E-2</v>
      </c>
      <c r="I93" s="212">
        <f>IFERROR($D$93*I144/100, 0)</f>
        <v>0.98399999999999987</v>
      </c>
      <c r="J93" s="206">
        <f t="shared" si="38"/>
        <v>2.1319999999999997</v>
      </c>
      <c r="K93" s="210">
        <f t="shared" ref="K93:P93" si="42">IFERROR($D$93*K144/100, 0)</f>
        <v>1.3119999999999998</v>
      </c>
      <c r="L93" s="211">
        <f t="shared" si="42"/>
        <v>0.78720000000000001</v>
      </c>
      <c r="M93" s="211">
        <f t="shared" si="42"/>
        <v>3.2799999999999996E-2</v>
      </c>
      <c r="N93" s="208">
        <f t="shared" si="42"/>
        <v>0</v>
      </c>
      <c r="O93" s="209">
        <f t="shared" si="42"/>
        <v>0</v>
      </c>
      <c r="P93" s="206">
        <f t="shared" si="42"/>
        <v>0</v>
      </c>
      <c r="Q93" s="336"/>
      <c r="R93" s="337"/>
    </row>
    <row r="94" spans="1:19" s="1" customFormat="1" x14ac:dyDescent="0.25">
      <c r="B94" s="150" t="s">
        <v>152</v>
      </c>
      <c r="C94" s="239" t="s">
        <v>313</v>
      </c>
      <c r="D94" s="338">
        <f>D95+D96</f>
        <v>23.85</v>
      </c>
      <c r="E94" s="153">
        <f>E95+E96</f>
        <v>0.23850000000000002</v>
      </c>
      <c r="F94" s="154">
        <f t="shared" si="35"/>
        <v>8.109</v>
      </c>
      <c r="G94" s="155">
        <f>G95+G96</f>
        <v>0.71550000000000014</v>
      </c>
      <c r="H94" s="156">
        <f>H95+H96</f>
        <v>0.23850000000000002</v>
      </c>
      <c r="I94" s="157">
        <f>I95+I96</f>
        <v>7.1550000000000002</v>
      </c>
      <c r="J94" s="154">
        <f t="shared" si="38"/>
        <v>15.5025</v>
      </c>
      <c r="K94" s="155">
        <f t="shared" ref="K94:P94" si="43">K95+K96</f>
        <v>9.5399999999999991</v>
      </c>
      <c r="L94" s="156">
        <f t="shared" si="43"/>
        <v>5.7240000000000011</v>
      </c>
      <c r="M94" s="156">
        <f t="shared" si="43"/>
        <v>0.23850000000000002</v>
      </c>
      <c r="N94" s="152">
        <f t="shared" si="43"/>
        <v>0</v>
      </c>
      <c r="O94" s="153">
        <f t="shared" si="43"/>
        <v>0</v>
      </c>
      <c r="P94" s="154">
        <f t="shared" si="43"/>
        <v>0</v>
      </c>
      <c r="Q94" s="325"/>
      <c r="R94" s="326"/>
    </row>
    <row r="95" spans="1:19" s="1" customFormat="1" ht="29.25" customHeight="1" x14ac:dyDescent="0.25">
      <c r="B95" s="167" t="s">
        <v>154</v>
      </c>
      <c r="C95" s="168" t="s">
        <v>315</v>
      </c>
      <c r="D95" s="335">
        <v>23.85</v>
      </c>
      <c r="E95" s="209">
        <f>IFERROR($D$95*E146/100, 0)</f>
        <v>0.23850000000000002</v>
      </c>
      <c r="F95" s="206">
        <f t="shared" si="35"/>
        <v>8.109</v>
      </c>
      <c r="G95" s="210">
        <f>IFERROR($D$95*G146/100, 0)</f>
        <v>0.71550000000000014</v>
      </c>
      <c r="H95" s="211">
        <f>IFERROR($D$95*H146/100, 0)</f>
        <v>0.23850000000000002</v>
      </c>
      <c r="I95" s="212">
        <f>IFERROR($D$95*I146/100, 0)</f>
        <v>7.1550000000000002</v>
      </c>
      <c r="J95" s="206">
        <f t="shared" si="38"/>
        <v>15.5025</v>
      </c>
      <c r="K95" s="210">
        <f t="shared" ref="K95:P95" si="44">IFERROR($D$95*K146/100, 0)</f>
        <v>9.5399999999999991</v>
      </c>
      <c r="L95" s="211">
        <f t="shared" si="44"/>
        <v>5.7240000000000011</v>
      </c>
      <c r="M95" s="211">
        <f t="shared" si="44"/>
        <v>0.23850000000000002</v>
      </c>
      <c r="N95" s="208">
        <f t="shared" si="44"/>
        <v>0</v>
      </c>
      <c r="O95" s="209">
        <f t="shared" si="44"/>
        <v>0</v>
      </c>
      <c r="P95" s="206">
        <f t="shared" si="44"/>
        <v>0</v>
      </c>
      <c r="Q95" s="336"/>
      <c r="R95" s="337"/>
    </row>
    <row r="96" spans="1:19" s="1" customFormat="1" ht="25.5" customHeight="1" thickBot="1" x14ac:dyDescent="0.3">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x14ac:dyDescent="0.25">
      <c r="B97" s="150" t="s">
        <v>160</v>
      </c>
      <c r="C97" s="239" t="s">
        <v>319</v>
      </c>
      <c r="D97" s="338">
        <f>D98</f>
        <v>1.81</v>
      </c>
      <c r="E97" s="153">
        <f>E98</f>
        <v>1.8100000000000002E-2</v>
      </c>
      <c r="F97" s="154">
        <f t="shared" si="35"/>
        <v>0.61540000000000006</v>
      </c>
      <c r="G97" s="155">
        <f>G98</f>
        <v>5.4299999999999994E-2</v>
      </c>
      <c r="H97" s="156">
        <f>H98</f>
        <v>1.8100000000000002E-2</v>
      </c>
      <c r="I97" s="157">
        <f>I98</f>
        <v>0.54300000000000004</v>
      </c>
      <c r="J97" s="154">
        <f t="shared" si="38"/>
        <v>1.1765000000000001</v>
      </c>
      <c r="K97" s="155">
        <f t="shared" ref="K97:P97" si="46">K98</f>
        <v>0.72400000000000009</v>
      </c>
      <c r="L97" s="156">
        <f t="shared" si="46"/>
        <v>0.43439999999999995</v>
      </c>
      <c r="M97" s="156">
        <f t="shared" si="46"/>
        <v>1.8100000000000002E-2</v>
      </c>
      <c r="N97" s="152">
        <f t="shared" si="46"/>
        <v>0</v>
      </c>
      <c r="O97" s="153">
        <f t="shared" si="46"/>
        <v>0</v>
      </c>
      <c r="P97" s="154">
        <f t="shared" si="46"/>
        <v>0</v>
      </c>
      <c r="Q97" s="325"/>
      <c r="R97" s="326"/>
    </row>
    <row r="98" spans="2:18" s="1" customFormat="1" ht="15.75" thickBot="1" x14ac:dyDescent="0.3">
      <c r="B98" s="167" t="s">
        <v>412</v>
      </c>
      <c r="C98" s="168" t="s">
        <v>321</v>
      </c>
      <c r="D98" s="335">
        <v>1.81</v>
      </c>
      <c r="E98" s="209">
        <f>IFERROR($D$98*E149/100, 0)</f>
        <v>1.8100000000000002E-2</v>
      </c>
      <c r="F98" s="206">
        <f>IFERROR($D$98*F149/100, 0)</f>
        <v>0.61539999999999995</v>
      </c>
      <c r="G98" s="210">
        <f>IFERROR($D$98*G149/100, 0)</f>
        <v>5.4299999999999994E-2</v>
      </c>
      <c r="H98" s="211">
        <f>IFERROR($D$98*H149/100, 0)</f>
        <v>1.8100000000000002E-2</v>
      </c>
      <c r="I98" s="212">
        <f>IFERROR($D$98*I149/100, 0)</f>
        <v>0.54300000000000004</v>
      </c>
      <c r="J98" s="206">
        <f t="shared" si="38"/>
        <v>1.1765000000000001</v>
      </c>
      <c r="K98" s="210">
        <f t="shared" ref="K98:P98" si="47">IFERROR($D$98*K149/100, 0)</f>
        <v>0.72400000000000009</v>
      </c>
      <c r="L98" s="211">
        <f t="shared" si="47"/>
        <v>0.43439999999999995</v>
      </c>
      <c r="M98" s="211">
        <f t="shared" si="47"/>
        <v>1.8100000000000002E-2</v>
      </c>
      <c r="N98" s="208">
        <f t="shared" si="47"/>
        <v>0</v>
      </c>
      <c r="O98" s="209">
        <f t="shared" si="47"/>
        <v>0</v>
      </c>
      <c r="P98" s="206">
        <f t="shared" si="47"/>
        <v>0</v>
      </c>
      <c r="Q98" s="336"/>
      <c r="R98" s="337"/>
    </row>
    <row r="99" spans="2:18" s="1" customFormat="1" x14ac:dyDescent="0.25">
      <c r="B99" s="150" t="s">
        <v>162</v>
      </c>
      <c r="C99" s="239" t="s">
        <v>323</v>
      </c>
      <c r="D99" s="338">
        <f>SUM(D100:D104)</f>
        <v>45.19</v>
      </c>
      <c r="E99" s="153">
        <f>SUM(E100:E104)</f>
        <v>0.45190000000000002</v>
      </c>
      <c r="F99" s="154">
        <f>SUM(G99:I99)</f>
        <v>15.364599999999999</v>
      </c>
      <c r="G99" s="155">
        <f>SUM(G100:G104)</f>
        <v>1.3556999999999999</v>
      </c>
      <c r="H99" s="156">
        <f>SUM(H100:H104)</f>
        <v>0.45190000000000002</v>
      </c>
      <c r="I99" s="157">
        <f>SUM(I100:I104)</f>
        <v>13.556999999999999</v>
      </c>
      <c r="J99" s="154">
        <f t="shared" si="38"/>
        <v>29.373499999999996</v>
      </c>
      <c r="K99" s="155">
        <f t="shared" ref="K99:P99" si="48">SUM(K100:K104)</f>
        <v>18.076000000000001</v>
      </c>
      <c r="L99" s="156">
        <f t="shared" si="48"/>
        <v>10.845599999999999</v>
      </c>
      <c r="M99" s="156">
        <f t="shared" si="48"/>
        <v>0.45190000000000002</v>
      </c>
      <c r="N99" s="152">
        <f t="shared" si="48"/>
        <v>0</v>
      </c>
      <c r="O99" s="153">
        <f t="shared" si="48"/>
        <v>0</v>
      </c>
      <c r="P99" s="154">
        <f t="shared" si="48"/>
        <v>0</v>
      </c>
      <c r="Q99" s="325"/>
      <c r="R99" s="326"/>
    </row>
    <row r="100" spans="2:18" s="1" customFormat="1" x14ac:dyDescent="0.25">
      <c r="B100" s="167" t="s">
        <v>413</v>
      </c>
      <c r="C100" s="168" t="s">
        <v>277</v>
      </c>
      <c r="D100" s="335">
        <v>24.04</v>
      </c>
      <c r="E100" s="209">
        <f>IFERROR($D$100*E151/100, 0)</f>
        <v>0.2404</v>
      </c>
      <c r="F100" s="206">
        <f>IFERROR($D$100*F151/100, 0)</f>
        <v>8.1736000000000004</v>
      </c>
      <c r="G100" s="210">
        <f>IFERROR($D$100*G151/100, 0)</f>
        <v>0.72120000000000006</v>
      </c>
      <c r="H100" s="211">
        <f>IFERROR($D$100*H151/100, 0)</f>
        <v>0.2404</v>
      </c>
      <c r="I100" s="212">
        <f>IFERROR($D$100*I151/100, 0)</f>
        <v>7.2119999999999997</v>
      </c>
      <c r="J100" s="206">
        <f t="shared" si="38"/>
        <v>15.625999999999999</v>
      </c>
      <c r="K100" s="210">
        <f t="shared" ref="K100:P100" si="49">IFERROR($D$100*K151/100, 0)</f>
        <v>9.6159999999999997</v>
      </c>
      <c r="L100" s="211">
        <f t="shared" si="49"/>
        <v>5.7696000000000005</v>
      </c>
      <c r="M100" s="211">
        <f t="shared" si="49"/>
        <v>0.2404</v>
      </c>
      <c r="N100" s="208">
        <f t="shared" si="49"/>
        <v>0</v>
      </c>
      <c r="O100" s="209">
        <f t="shared" si="49"/>
        <v>0</v>
      </c>
      <c r="P100" s="206">
        <f t="shared" si="49"/>
        <v>0</v>
      </c>
      <c r="Q100" s="336"/>
      <c r="R100" s="337"/>
    </row>
    <row r="101" spans="2:18" s="1" customFormat="1" x14ac:dyDescent="0.25">
      <c r="B101" s="167" t="s">
        <v>414</v>
      </c>
      <c r="C101" s="168" t="s">
        <v>281</v>
      </c>
      <c r="D101" s="335">
        <v>20.72</v>
      </c>
      <c r="E101" s="209">
        <f>IFERROR($D$101*E152/100, 0)</f>
        <v>0.2072</v>
      </c>
      <c r="F101" s="206">
        <f>IFERROR($D$101*F152/100, 0)</f>
        <v>7.0448000000000004</v>
      </c>
      <c r="G101" s="210">
        <f>IFERROR($D$101*G152/100, 0)</f>
        <v>0.62159999999999993</v>
      </c>
      <c r="H101" s="211">
        <f>IFERROR($D$101*H152/100, 0)</f>
        <v>0.2072</v>
      </c>
      <c r="I101" s="212">
        <f>IFERROR($D$101*I152/100, 0)</f>
        <v>6.2159999999999993</v>
      </c>
      <c r="J101" s="206">
        <f t="shared" si="38"/>
        <v>13.468</v>
      </c>
      <c r="K101" s="210">
        <f t="shared" ref="K101:P101" si="50">IFERROR($D$101*K152/100, 0)</f>
        <v>8.2880000000000003</v>
      </c>
      <c r="L101" s="211">
        <f t="shared" si="50"/>
        <v>4.9727999999999994</v>
      </c>
      <c r="M101" s="211">
        <f t="shared" si="50"/>
        <v>0.2072</v>
      </c>
      <c r="N101" s="208">
        <f t="shared" si="50"/>
        <v>0</v>
      </c>
      <c r="O101" s="209">
        <f t="shared" si="50"/>
        <v>0</v>
      </c>
      <c r="P101" s="206">
        <f t="shared" si="50"/>
        <v>0</v>
      </c>
      <c r="Q101" s="336"/>
      <c r="R101" s="337"/>
    </row>
    <row r="102" spans="2:18" s="1" customFormat="1" x14ac:dyDescent="0.25">
      <c r="B102" s="167" t="s">
        <v>415</v>
      </c>
      <c r="C102" s="250" t="s">
        <v>327</v>
      </c>
      <c r="D102" s="335">
        <v>0.43</v>
      </c>
      <c r="E102" s="209">
        <f>IFERROR($D$102*E153/100, 0)</f>
        <v>4.3E-3</v>
      </c>
      <c r="F102" s="206">
        <f>IFERROR($D$102*F153/100, 0)</f>
        <v>0.1462</v>
      </c>
      <c r="G102" s="210">
        <f>IFERROR($D$102*G153/100, 0)</f>
        <v>1.29E-2</v>
      </c>
      <c r="H102" s="211">
        <f>IFERROR($D$102*H153/100, 0)</f>
        <v>4.3E-3</v>
      </c>
      <c r="I102" s="212">
        <f>IFERROR($D$102*I153/100, 0)</f>
        <v>0.129</v>
      </c>
      <c r="J102" s="206">
        <f t="shared" si="38"/>
        <v>0.27950000000000003</v>
      </c>
      <c r="K102" s="210">
        <f t="shared" ref="K102:P102" si="51">IFERROR($D$102*K153/100, 0)</f>
        <v>0.17199999999999999</v>
      </c>
      <c r="L102" s="211">
        <f t="shared" si="51"/>
        <v>0.1032</v>
      </c>
      <c r="M102" s="211">
        <f t="shared" si="51"/>
        <v>4.3E-3</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x14ac:dyDescent="0.3">
      <c r="B105" s="150" t="s">
        <v>418</v>
      </c>
      <c r="C105" s="239" t="s">
        <v>332</v>
      </c>
      <c r="D105" s="339">
        <v>7.71</v>
      </c>
      <c r="E105" s="153">
        <f>IFERROR($D$105*E156/100, 0)</f>
        <v>7.7100000000000002E-2</v>
      </c>
      <c r="F105" s="154">
        <f>IFERROR($D$105*F156/100, 0)</f>
        <v>2.6214</v>
      </c>
      <c r="G105" s="155">
        <f>IFERROR($D$105*G156/100, 0)</f>
        <v>0.23129999999999998</v>
      </c>
      <c r="H105" s="156">
        <f>IFERROR($D$105*H156/100, 0)</f>
        <v>7.7100000000000002E-2</v>
      </c>
      <c r="I105" s="157">
        <f>IFERROR($D$105*I156/100, 0)</f>
        <v>2.3130000000000002</v>
      </c>
      <c r="J105" s="154">
        <f t="shared" si="38"/>
        <v>5.011499999999999</v>
      </c>
      <c r="K105" s="155">
        <f t="shared" ref="K105:P105" si="54">IFERROR($D$105*K156/100, 0)</f>
        <v>3.0839999999999996</v>
      </c>
      <c r="L105" s="156">
        <f t="shared" si="54"/>
        <v>1.8503999999999998</v>
      </c>
      <c r="M105" s="156">
        <f t="shared" si="54"/>
        <v>7.7100000000000002E-2</v>
      </c>
      <c r="N105" s="152">
        <f t="shared" si="54"/>
        <v>0</v>
      </c>
      <c r="O105" s="153">
        <f t="shared" si="54"/>
        <v>0</v>
      </c>
      <c r="P105" s="154">
        <f t="shared" si="54"/>
        <v>0</v>
      </c>
      <c r="Q105" s="325"/>
      <c r="R105" s="326"/>
    </row>
    <row r="106" spans="2:18" s="1" customFormat="1" x14ac:dyDescent="0.25">
      <c r="B106" s="150" t="s">
        <v>419</v>
      </c>
      <c r="C106" s="239" t="s">
        <v>334</v>
      </c>
      <c r="D106" s="338">
        <f>SUM(D107:D110)</f>
        <v>79.66</v>
      </c>
      <c r="E106" s="153">
        <f>SUM(E107:E110)</f>
        <v>0.79659999999999997</v>
      </c>
      <c r="F106" s="154">
        <f t="shared" ref="F106:F140" si="55">SUM(G106:I106)</f>
        <v>27.084399999999999</v>
      </c>
      <c r="G106" s="155">
        <f>SUM(G107:G110)</f>
        <v>2.3897999999999997</v>
      </c>
      <c r="H106" s="156">
        <f>SUM(H107:H110)</f>
        <v>0.79659999999999997</v>
      </c>
      <c r="I106" s="157">
        <f>SUM(I107:I110)</f>
        <v>23.898</v>
      </c>
      <c r="J106" s="154">
        <f t="shared" si="38"/>
        <v>51.778999999999996</v>
      </c>
      <c r="K106" s="155">
        <f t="shared" ref="K106:P106" si="56">SUM(K107:K110)</f>
        <v>31.863999999999997</v>
      </c>
      <c r="L106" s="156">
        <f t="shared" si="56"/>
        <v>19.118399999999998</v>
      </c>
      <c r="M106" s="156">
        <f t="shared" si="56"/>
        <v>0.79659999999999997</v>
      </c>
      <c r="N106" s="152">
        <f t="shared" si="56"/>
        <v>0</v>
      </c>
      <c r="O106" s="153">
        <f t="shared" si="56"/>
        <v>0</v>
      </c>
      <c r="P106" s="154">
        <f t="shared" si="56"/>
        <v>0</v>
      </c>
      <c r="Q106" s="340"/>
      <c r="R106" s="326"/>
    </row>
    <row r="107" spans="2:18" s="1" customFormat="1" x14ac:dyDescent="0.25">
      <c r="B107" s="259" t="s">
        <v>420</v>
      </c>
      <c r="C107" s="260" t="s">
        <v>336</v>
      </c>
      <c r="D107" s="335">
        <v>75.69</v>
      </c>
      <c r="E107" s="209">
        <f>IFERROR($D$107*E158/100, 0)</f>
        <v>0.75690000000000002</v>
      </c>
      <c r="F107" s="206">
        <f t="shared" si="55"/>
        <v>25.734599999999997</v>
      </c>
      <c r="G107" s="210">
        <f>IFERROR($D$107*G158/100, 0)</f>
        <v>2.2706999999999997</v>
      </c>
      <c r="H107" s="211">
        <f>IFERROR($D$107*H158/100, 0)</f>
        <v>0.75690000000000002</v>
      </c>
      <c r="I107" s="212">
        <f>IFERROR($D$107*I158/100, 0)</f>
        <v>22.706999999999997</v>
      </c>
      <c r="J107" s="206">
        <f t="shared" si="38"/>
        <v>49.198499999999996</v>
      </c>
      <c r="K107" s="210">
        <f t="shared" ref="K107:P107" si="57">IFERROR($D$107*K158/100, 0)</f>
        <v>30.276</v>
      </c>
      <c r="L107" s="211">
        <f t="shared" si="57"/>
        <v>18.165599999999998</v>
      </c>
      <c r="M107" s="211">
        <f t="shared" si="57"/>
        <v>0.75690000000000002</v>
      </c>
      <c r="N107" s="208">
        <f t="shared" si="57"/>
        <v>0</v>
      </c>
      <c r="O107" s="209">
        <f t="shared" si="57"/>
        <v>0</v>
      </c>
      <c r="P107" s="206">
        <f t="shared" si="57"/>
        <v>0</v>
      </c>
      <c r="Q107" s="341"/>
      <c r="R107" s="337"/>
    </row>
    <row r="108" spans="2:18" s="1" customFormat="1" x14ac:dyDescent="0.25">
      <c r="B108" s="259" t="s">
        <v>421</v>
      </c>
      <c r="C108" s="260" t="s">
        <v>338</v>
      </c>
      <c r="D108" s="335">
        <v>1.32</v>
      </c>
      <c r="E108" s="209">
        <f>IFERROR($D$108*E159/100, 0)</f>
        <v>1.32E-2</v>
      </c>
      <c r="F108" s="206">
        <f t="shared" si="55"/>
        <v>0.44880000000000003</v>
      </c>
      <c r="G108" s="210">
        <f>IFERROR($D$108*G159/100, 0)</f>
        <v>3.9599999999999996E-2</v>
      </c>
      <c r="H108" s="211">
        <f>IFERROR($D$108*H159/100, 0)</f>
        <v>1.32E-2</v>
      </c>
      <c r="I108" s="212">
        <f>IFERROR($D$108*I159/100, 0)</f>
        <v>0.39600000000000002</v>
      </c>
      <c r="J108" s="206">
        <f t="shared" si="38"/>
        <v>0.85799999999999998</v>
      </c>
      <c r="K108" s="210">
        <f t="shared" ref="K108:P108" si="58">IFERROR($D$108*K159/100, 0)</f>
        <v>0.52800000000000002</v>
      </c>
      <c r="L108" s="211">
        <f t="shared" si="58"/>
        <v>0.31679999999999997</v>
      </c>
      <c r="M108" s="211">
        <f t="shared" si="58"/>
        <v>1.32E-2</v>
      </c>
      <c r="N108" s="208">
        <f t="shared" si="58"/>
        <v>0</v>
      </c>
      <c r="O108" s="209">
        <f t="shared" si="58"/>
        <v>0</v>
      </c>
      <c r="P108" s="206">
        <f t="shared" si="58"/>
        <v>0</v>
      </c>
      <c r="Q108" s="341"/>
      <c r="R108" s="337"/>
    </row>
    <row r="109" spans="2:18" s="1" customFormat="1" x14ac:dyDescent="0.25">
      <c r="B109" s="259" t="s">
        <v>422</v>
      </c>
      <c r="C109" s="260" t="s">
        <v>340</v>
      </c>
      <c r="D109" s="335">
        <v>2.65</v>
      </c>
      <c r="E109" s="209">
        <f>IFERROR($D$109*E160/100, 0)</f>
        <v>2.6499999999999999E-2</v>
      </c>
      <c r="F109" s="206">
        <f t="shared" si="55"/>
        <v>0.90100000000000002</v>
      </c>
      <c r="G109" s="210">
        <f>IFERROR($D$109*G160/100, 0)</f>
        <v>7.9499999999999987E-2</v>
      </c>
      <c r="H109" s="211">
        <f>IFERROR($D$109*H160/100, 0)</f>
        <v>2.6499999999999999E-2</v>
      </c>
      <c r="I109" s="212">
        <f>IFERROR($D$109*I160/100, 0)</f>
        <v>0.79500000000000004</v>
      </c>
      <c r="J109" s="206">
        <f t="shared" si="38"/>
        <v>1.7224999999999999</v>
      </c>
      <c r="K109" s="210">
        <f t="shared" ref="K109:P109" si="59">IFERROR($D$109*K160/100, 0)</f>
        <v>1.06</v>
      </c>
      <c r="L109" s="211">
        <f t="shared" si="59"/>
        <v>0.6359999999999999</v>
      </c>
      <c r="M109" s="211">
        <f t="shared" si="59"/>
        <v>2.6499999999999999E-2</v>
      </c>
      <c r="N109" s="208">
        <f t="shared" si="59"/>
        <v>0</v>
      </c>
      <c r="O109" s="209">
        <f t="shared" si="59"/>
        <v>0</v>
      </c>
      <c r="P109" s="206">
        <f t="shared" si="59"/>
        <v>0</v>
      </c>
      <c r="Q109" s="336"/>
      <c r="R109" s="337"/>
    </row>
    <row r="110" spans="2:18" s="1" customFormat="1" ht="15.75" thickBot="1" x14ac:dyDescent="0.3">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x14ac:dyDescent="0.25">
      <c r="B111" s="150" t="s">
        <v>424</v>
      </c>
      <c r="C111" s="239" t="s">
        <v>344</v>
      </c>
      <c r="D111" s="338">
        <f>SUM(D112:D114)</f>
        <v>1.35</v>
      </c>
      <c r="E111" s="153">
        <f>SUM(E112:E114)</f>
        <v>1.3500000000000002E-2</v>
      </c>
      <c r="F111" s="154">
        <f t="shared" si="55"/>
        <v>0.45900000000000002</v>
      </c>
      <c r="G111" s="155">
        <f>SUM(G112:G114)</f>
        <v>4.0500000000000008E-2</v>
      </c>
      <c r="H111" s="156">
        <f>SUM(H112:H114)</f>
        <v>1.3500000000000002E-2</v>
      </c>
      <c r="I111" s="157">
        <f>SUM(I112:I114)</f>
        <v>0.40500000000000003</v>
      </c>
      <c r="J111" s="154">
        <f t="shared" si="38"/>
        <v>0.87750000000000006</v>
      </c>
      <c r="K111" s="155">
        <f t="shared" ref="K111:P111" si="61">SUM(K112:K114)</f>
        <v>0.54</v>
      </c>
      <c r="L111" s="156">
        <f t="shared" si="61"/>
        <v>0.32400000000000007</v>
      </c>
      <c r="M111" s="156">
        <f t="shared" si="61"/>
        <v>1.3500000000000002E-2</v>
      </c>
      <c r="N111" s="152">
        <f t="shared" si="61"/>
        <v>0</v>
      </c>
      <c r="O111" s="153">
        <f t="shared" si="61"/>
        <v>0</v>
      </c>
      <c r="P111" s="154">
        <f t="shared" si="61"/>
        <v>0</v>
      </c>
      <c r="Q111" s="325"/>
      <c r="R111" s="326"/>
    </row>
    <row r="112" spans="2:18" s="1" customFormat="1" x14ac:dyDescent="0.25">
      <c r="B112" s="259" t="s">
        <v>425</v>
      </c>
      <c r="C112" s="260" t="s">
        <v>350</v>
      </c>
      <c r="D112" s="335">
        <v>0.45</v>
      </c>
      <c r="E112" s="209">
        <f>IFERROR($D$112*E163/100, 0)</f>
        <v>4.5000000000000005E-3</v>
      </c>
      <c r="F112" s="206">
        <f t="shared" si="55"/>
        <v>0.15300000000000002</v>
      </c>
      <c r="G112" s="210">
        <f>IFERROR($D$112*G163/100, 0)</f>
        <v>1.3500000000000002E-2</v>
      </c>
      <c r="H112" s="211">
        <f>IFERROR($D$112*H163/100, 0)</f>
        <v>4.5000000000000005E-3</v>
      </c>
      <c r="I112" s="212">
        <f>IFERROR($D$112*I163/100, 0)</f>
        <v>0.13500000000000001</v>
      </c>
      <c r="J112" s="206">
        <f t="shared" si="38"/>
        <v>0.29250000000000004</v>
      </c>
      <c r="K112" s="210">
        <f t="shared" ref="K112:P112" si="62">IFERROR($D$112*K163/100, 0)</f>
        <v>0.18</v>
      </c>
      <c r="L112" s="211">
        <f t="shared" si="62"/>
        <v>0.10800000000000001</v>
      </c>
      <c r="M112" s="211">
        <f t="shared" si="62"/>
        <v>4.5000000000000005E-3</v>
      </c>
      <c r="N112" s="208">
        <f t="shared" si="62"/>
        <v>0</v>
      </c>
      <c r="O112" s="209">
        <f t="shared" si="62"/>
        <v>0</v>
      </c>
      <c r="P112" s="206">
        <f t="shared" si="62"/>
        <v>0</v>
      </c>
      <c r="Q112" s="336"/>
      <c r="R112" s="337"/>
    </row>
    <row r="113" spans="2:18" s="1" customFormat="1" x14ac:dyDescent="0.25">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v>0.9</v>
      </c>
      <c r="E114" s="209">
        <f>IFERROR($D$114*E165/100, 0)</f>
        <v>9.0000000000000011E-3</v>
      </c>
      <c r="F114" s="216">
        <f t="shared" si="55"/>
        <v>0.30600000000000005</v>
      </c>
      <c r="G114" s="217">
        <f>IFERROR($D$114*G165/100, 0)</f>
        <v>2.7000000000000003E-2</v>
      </c>
      <c r="H114" s="218">
        <f>IFERROR($D$114*H165/100, 0)</f>
        <v>9.0000000000000011E-3</v>
      </c>
      <c r="I114" s="219">
        <f>IFERROR($D$114*I165/100, 0)</f>
        <v>0.27</v>
      </c>
      <c r="J114" s="216">
        <f t="shared" si="38"/>
        <v>0.58500000000000008</v>
      </c>
      <c r="K114" s="217">
        <f t="shared" ref="K114:P114" si="64">IFERROR($D$114*K165/100, 0)</f>
        <v>0.36</v>
      </c>
      <c r="L114" s="218">
        <f t="shared" si="64"/>
        <v>0.21600000000000003</v>
      </c>
      <c r="M114" s="218">
        <f t="shared" si="64"/>
        <v>9.0000000000000011E-3</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0</v>
      </c>
      <c r="E118" s="153">
        <f>SUM(E119:E132)</f>
        <v>0</v>
      </c>
      <c r="F118" s="154">
        <f t="shared" si="55"/>
        <v>0</v>
      </c>
      <c r="G118" s="155">
        <f>SUM(G119:G132)</f>
        <v>0</v>
      </c>
      <c r="H118" s="156">
        <f>SUM(H119:H132)</f>
        <v>0</v>
      </c>
      <c r="I118" s="157">
        <f>SUM(I119:I132)</f>
        <v>0</v>
      </c>
      <c r="J118" s="154">
        <f t="shared" si="38"/>
        <v>0</v>
      </c>
      <c r="K118" s="155">
        <f t="shared" ref="K118:P118" si="68">SUM(K119:K132)</f>
        <v>0</v>
      </c>
      <c r="L118" s="156">
        <f t="shared" si="68"/>
        <v>0</v>
      </c>
      <c r="M118" s="156">
        <f t="shared" si="68"/>
        <v>0</v>
      </c>
      <c r="N118" s="152">
        <f t="shared" si="68"/>
        <v>0</v>
      </c>
      <c r="O118" s="153">
        <f t="shared" si="68"/>
        <v>0</v>
      </c>
      <c r="P118" s="154">
        <f t="shared" si="68"/>
        <v>0</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x14ac:dyDescent="0.25">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x14ac:dyDescent="0.25">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x14ac:dyDescent="0.3">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3.4299999999999997</v>
      </c>
      <c r="E134" s="153">
        <f>SUM(E135:E140)</f>
        <v>3.4300000000000004E-2</v>
      </c>
      <c r="F134" s="154">
        <f t="shared" si="55"/>
        <v>1.1661999999999999</v>
      </c>
      <c r="G134" s="155">
        <f>SUM(G135:G140)</f>
        <v>0.10289999999999999</v>
      </c>
      <c r="H134" s="156">
        <f>SUM(H135:H140)</f>
        <v>3.4300000000000004E-2</v>
      </c>
      <c r="I134" s="157">
        <f>SUM(I135:I140)</f>
        <v>1.0289999999999999</v>
      </c>
      <c r="J134" s="154">
        <f t="shared" si="71"/>
        <v>2.2294999999999998</v>
      </c>
      <c r="K134" s="155">
        <f t="shared" ref="K134:P134" si="85">SUM(K135:K140)</f>
        <v>1.3720000000000001</v>
      </c>
      <c r="L134" s="156">
        <f t="shared" si="85"/>
        <v>0.82319999999999993</v>
      </c>
      <c r="M134" s="156">
        <f t="shared" si="85"/>
        <v>3.4300000000000004E-2</v>
      </c>
      <c r="N134" s="152">
        <f t="shared" si="85"/>
        <v>0</v>
      </c>
      <c r="O134" s="153">
        <f t="shared" si="85"/>
        <v>0</v>
      </c>
      <c r="P134" s="154">
        <f t="shared" si="85"/>
        <v>0</v>
      </c>
      <c r="Q134" s="325"/>
      <c r="R134" s="326"/>
    </row>
    <row r="135" spans="2:18" s="1" customFormat="1" x14ac:dyDescent="0.25">
      <c r="B135" s="167" t="s">
        <v>448</v>
      </c>
      <c r="C135" s="357" t="s">
        <v>396</v>
      </c>
      <c r="D135" s="358">
        <v>0.22</v>
      </c>
      <c r="E135" s="359">
        <f>IFERROR($D$135*E185/100, 0)</f>
        <v>2.2000000000000001E-3</v>
      </c>
      <c r="F135" s="308">
        <f t="shared" si="55"/>
        <v>7.4800000000000005E-2</v>
      </c>
      <c r="G135" s="360">
        <f>IFERROR($D$135*G185/100, 0)</f>
        <v>6.6E-3</v>
      </c>
      <c r="H135" s="361">
        <f>IFERROR($D$135*H185/100, 0)</f>
        <v>2.2000000000000001E-3</v>
      </c>
      <c r="I135" s="362">
        <f>IFERROR($D$135*I185/100, 0)</f>
        <v>6.6000000000000003E-2</v>
      </c>
      <c r="J135" s="308">
        <f t="shared" si="71"/>
        <v>0.14300000000000002</v>
      </c>
      <c r="K135" s="360">
        <f t="shared" ref="K135:P135" si="86">IFERROR($D$135*K185/100, 0)</f>
        <v>8.8000000000000009E-2</v>
      </c>
      <c r="L135" s="361">
        <f t="shared" si="86"/>
        <v>5.28E-2</v>
      </c>
      <c r="M135" s="361">
        <f t="shared" si="86"/>
        <v>2.2000000000000001E-3</v>
      </c>
      <c r="N135" s="306">
        <f t="shared" si="86"/>
        <v>0</v>
      </c>
      <c r="O135" s="359">
        <f t="shared" si="86"/>
        <v>0</v>
      </c>
      <c r="P135" s="308">
        <f t="shared" si="86"/>
        <v>0</v>
      </c>
      <c r="Q135" s="336"/>
      <c r="R135" s="337"/>
    </row>
    <row r="136" spans="2:18" s="1" customFormat="1" x14ac:dyDescent="0.25">
      <c r="B136" s="167" t="s">
        <v>449</v>
      </c>
      <c r="C136" s="357" t="s">
        <v>450</v>
      </c>
      <c r="D136" s="358">
        <v>0.81</v>
      </c>
      <c r="E136" s="359">
        <f>IFERROR($D$136*E185/100, 0)</f>
        <v>8.1000000000000013E-3</v>
      </c>
      <c r="F136" s="308">
        <f t="shared" si="55"/>
        <v>0.27539999999999998</v>
      </c>
      <c r="G136" s="360">
        <f>IFERROR($D$136*G185/100, 0)</f>
        <v>2.4300000000000002E-2</v>
      </c>
      <c r="H136" s="361">
        <f>IFERROR($D$136*H185/100, 0)</f>
        <v>8.1000000000000013E-3</v>
      </c>
      <c r="I136" s="362">
        <f>IFERROR($D$136*I185/100, 0)</f>
        <v>0.24299999999999999</v>
      </c>
      <c r="J136" s="308">
        <f t="shared" si="71"/>
        <v>0.52650000000000008</v>
      </c>
      <c r="K136" s="360">
        <f t="shared" ref="K136:P136" si="87">IFERROR($D$136*K185/100, 0)</f>
        <v>0.32400000000000007</v>
      </c>
      <c r="L136" s="361">
        <f t="shared" si="87"/>
        <v>0.19440000000000002</v>
      </c>
      <c r="M136" s="361">
        <f t="shared" si="87"/>
        <v>8.1000000000000013E-3</v>
      </c>
      <c r="N136" s="306">
        <f t="shared" si="87"/>
        <v>0</v>
      </c>
      <c r="O136" s="359">
        <f t="shared" si="87"/>
        <v>0</v>
      </c>
      <c r="P136" s="308">
        <f t="shared" si="87"/>
        <v>0</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0</v>
      </c>
      <c r="E138" s="215">
        <f>IFERROR($D$138*E185/100, 0)</f>
        <v>0</v>
      </c>
      <c r="F138" s="216">
        <f t="shared" si="55"/>
        <v>0</v>
      </c>
      <c r="G138" s="217">
        <f>IFERROR($D$138*G185/100, 0)</f>
        <v>0</v>
      </c>
      <c r="H138" s="218">
        <f>IFERROR($D$138*H185/100, 0)</f>
        <v>0</v>
      </c>
      <c r="I138" s="219">
        <f>IFERROR($D$138*I185/100, 0)</f>
        <v>0</v>
      </c>
      <c r="J138" s="216">
        <f t="shared" si="71"/>
        <v>0</v>
      </c>
      <c r="K138" s="217">
        <f t="shared" ref="K138:P138" si="89">IFERROR($D$138*K185/100, 0)</f>
        <v>0</v>
      </c>
      <c r="L138" s="218">
        <f t="shared" si="89"/>
        <v>0</v>
      </c>
      <c r="M138" s="218">
        <f t="shared" si="89"/>
        <v>0</v>
      </c>
      <c r="N138" s="214">
        <f t="shared" si="89"/>
        <v>0</v>
      </c>
      <c r="O138" s="215">
        <f t="shared" si="89"/>
        <v>0</v>
      </c>
      <c r="P138" s="216">
        <f t="shared" si="89"/>
        <v>0</v>
      </c>
      <c r="Q138" s="336"/>
      <c r="R138" s="337"/>
    </row>
    <row r="139" spans="2:18" s="1" customFormat="1" x14ac:dyDescent="0.25">
      <c r="B139" s="262" t="s">
        <v>454</v>
      </c>
      <c r="C139" s="363" t="s">
        <v>404</v>
      </c>
      <c r="D139" s="342">
        <v>2.4</v>
      </c>
      <c r="E139" s="215">
        <f>IFERROR($D$139*E185/100, 0)</f>
        <v>2.4E-2</v>
      </c>
      <c r="F139" s="216">
        <f t="shared" si="55"/>
        <v>0.81599999999999995</v>
      </c>
      <c r="G139" s="217">
        <f>IFERROR($D$139*G185/100, 0)</f>
        <v>7.1999999999999995E-2</v>
      </c>
      <c r="H139" s="218">
        <f>IFERROR($D$139*H185/100, 0)</f>
        <v>2.4E-2</v>
      </c>
      <c r="I139" s="219">
        <f>IFERROR($D$139*I185/100, 0)</f>
        <v>0.72</v>
      </c>
      <c r="J139" s="216">
        <f t="shared" si="71"/>
        <v>1.56</v>
      </c>
      <c r="K139" s="217">
        <f t="shared" ref="K139:P139" si="90">IFERROR($D$139*K185/100, 0)</f>
        <v>0.96</v>
      </c>
      <c r="L139" s="218">
        <f t="shared" si="90"/>
        <v>0.57599999999999996</v>
      </c>
      <c r="M139" s="218">
        <f t="shared" si="90"/>
        <v>2.4E-2</v>
      </c>
      <c r="N139" s="214">
        <f t="shared" si="90"/>
        <v>0</v>
      </c>
      <c r="O139" s="215">
        <f t="shared" si="90"/>
        <v>0</v>
      </c>
      <c r="P139" s="216">
        <f t="shared" si="90"/>
        <v>0</v>
      </c>
      <c r="Q139" s="336"/>
      <c r="R139" s="337"/>
    </row>
    <row r="140" spans="2:18" s="1" customFormat="1" ht="15.75" thickBot="1" x14ac:dyDescent="0.3">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100</v>
      </c>
      <c r="E143" s="370">
        <v>1</v>
      </c>
      <c r="F143" s="371">
        <f>SUM(G143:I143)</f>
        <v>34</v>
      </c>
      <c r="G143" s="370">
        <v>3</v>
      </c>
      <c r="H143" s="370">
        <v>1</v>
      </c>
      <c r="I143" s="370">
        <v>30</v>
      </c>
      <c r="J143" s="371">
        <f>SUM(K143:M143)</f>
        <v>65</v>
      </c>
      <c r="K143" s="370">
        <v>40</v>
      </c>
      <c r="L143" s="370">
        <v>24</v>
      </c>
      <c r="M143" s="370">
        <v>1</v>
      </c>
      <c r="N143" s="370">
        <v>0</v>
      </c>
      <c r="O143" s="370">
        <v>0</v>
      </c>
      <c r="P143" s="370">
        <v>0</v>
      </c>
    </row>
    <row r="144" spans="2:18" s="1" customFormat="1" ht="15.75" thickBot="1" x14ac:dyDescent="0.3">
      <c r="B144" s="372">
        <v>2</v>
      </c>
      <c r="C144" s="168" t="s">
        <v>306</v>
      </c>
      <c r="D144" s="373">
        <f>E144+F144+J144+N144+O144+P144</f>
        <v>100</v>
      </c>
      <c r="E144" s="374">
        <v>1</v>
      </c>
      <c r="F144" s="375">
        <f>SUM(G144:I144)</f>
        <v>34</v>
      </c>
      <c r="G144" s="374">
        <v>3</v>
      </c>
      <c r="H144" s="374">
        <v>1</v>
      </c>
      <c r="I144" s="374">
        <v>30</v>
      </c>
      <c r="J144" s="375">
        <f>SUM(K144:M144)</f>
        <v>65</v>
      </c>
      <c r="K144" s="374">
        <v>40</v>
      </c>
      <c r="L144" s="374">
        <v>24</v>
      </c>
      <c r="M144" s="374">
        <v>1</v>
      </c>
      <c r="N144" s="374">
        <v>0</v>
      </c>
      <c r="O144" s="374">
        <v>0</v>
      </c>
      <c r="P144" s="374">
        <v>0</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100</v>
      </c>
      <c r="E146" s="370">
        <v>1</v>
      </c>
      <c r="F146" s="371">
        <f>SUM(G146:I146)</f>
        <v>34</v>
      </c>
      <c r="G146" s="370">
        <v>3</v>
      </c>
      <c r="H146" s="370">
        <v>1</v>
      </c>
      <c r="I146" s="370">
        <v>30</v>
      </c>
      <c r="J146" s="371">
        <f>SUM(K146:M146)</f>
        <v>65</v>
      </c>
      <c r="K146" s="370">
        <v>40</v>
      </c>
      <c r="L146" s="370">
        <v>24</v>
      </c>
      <c r="M146" s="370">
        <v>1</v>
      </c>
      <c r="N146" s="370">
        <v>0</v>
      </c>
      <c r="O146" s="370">
        <v>0</v>
      </c>
      <c r="P146" s="370">
        <v>0</v>
      </c>
    </row>
    <row r="147" spans="2:16" s="1" customFormat="1" ht="15.75" thickBot="1" x14ac:dyDescent="0.3">
      <c r="B147" s="382">
        <v>2</v>
      </c>
      <c r="C147" s="383" t="s">
        <v>317</v>
      </c>
      <c r="D147" s="373">
        <f>E147+F147+J147+N147+O147+P147</f>
        <v>100</v>
      </c>
      <c r="E147" s="374">
        <v>1</v>
      </c>
      <c r="F147" s="375">
        <f>SUM(G147:I147)</f>
        <v>34</v>
      </c>
      <c r="G147" s="374">
        <v>3</v>
      </c>
      <c r="H147" s="374">
        <v>1</v>
      </c>
      <c r="I147" s="374">
        <v>30</v>
      </c>
      <c r="J147" s="375">
        <f>SUM(K147:M147)</f>
        <v>65</v>
      </c>
      <c r="K147" s="374">
        <v>40</v>
      </c>
      <c r="L147" s="374">
        <v>24</v>
      </c>
      <c r="M147" s="374">
        <v>1</v>
      </c>
      <c r="N147" s="374">
        <v>0</v>
      </c>
      <c r="O147" s="374">
        <v>0</v>
      </c>
      <c r="P147" s="374">
        <v>0</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100</v>
      </c>
      <c r="E149" s="374">
        <v>1</v>
      </c>
      <c r="F149" s="375">
        <f>SUM(G149:I149)</f>
        <v>34</v>
      </c>
      <c r="G149" s="374">
        <v>3</v>
      </c>
      <c r="H149" s="374">
        <v>1</v>
      </c>
      <c r="I149" s="374">
        <v>30</v>
      </c>
      <c r="J149" s="375">
        <f>SUM(K149:M149)</f>
        <v>65</v>
      </c>
      <c r="K149" s="374">
        <v>40</v>
      </c>
      <c r="L149" s="374">
        <v>24</v>
      </c>
      <c r="M149" s="374">
        <v>1</v>
      </c>
      <c r="N149" s="374">
        <v>0</v>
      </c>
      <c r="O149" s="374">
        <v>0</v>
      </c>
      <c r="P149" s="374">
        <v>0</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100</v>
      </c>
      <c r="E151" s="370">
        <v>1</v>
      </c>
      <c r="F151" s="371">
        <f t="shared" ref="F151:F156" si="93">SUM(G151:I151)</f>
        <v>34</v>
      </c>
      <c r="G151" s="370">
        <v>3</v>
      </c>
      <c r="H151" s="370">
        <v>1</v>
      </c>
      <c r="I151" s="370">
        <v>30</v>
      </c>
      <c r="J151" s="371">
        <f t="shared" ref="J151:J156" si="94">SUM(K151:M151)</f>
        <v>65</v>
      </c>
      <c r="K151" s="370">
        <v>40</v>
      </c>
      <c r="L151" s="370">
        <v>24</v>
      </c>
      <c r="M151" s="370">
        <v>1</v>
      </c>
      <c r="N151" s="370">
        <v>0</v>
      </c>
      <c r="O151" s="370">
        <v>0</v>
      </c>
      <c r="P151" s="370">
        <v>0</v>
      </c>
    </row>
    <row r="152" spans="2:16" s="1" customFormat="1" x14ac:dyDescent="0.25">
      <c r="B152" s="380">
        <v>2</v>
      </c>
      <c r="C152" s="381" t="s">
        <v>281</v>
      </c>
      <c r="D152" s="369">
        <f t="shared" si="92"/>
        <v>100</v>
      </c>
      <c r="E152" s="370">
        <v>1</v>
      </c>
      <c r="F152" s="371">
        <f t="shared" si="93"/>
        <v>34</v>
      </c>
      <c r="G152" s="370">
        <v>3</v>
      </c>
      <c r="H152" s="370">
        <v>1</v>
      </c>
      <c r="I152" s="370">
        <v>30</v>
      </c>
      <c r="J152" s="371">
        <f t="shared" si="94"/>
        <v>65</v>
      </c>
      <c r="K152" s="370">
        <v>40</v>
      </c>
      <c r="L152" s="370">
        <v>24</v>
      </c>
      <c r="M152" s="370">
        <v>1</v>
      </c>
      <c r="N152" s="370">
        <v>0</v>
      </c>
      <c r="O152" s="370">
        <v>0</v>
      </c>
      <c r="P152" s="370">
        <v>0</v>
      </c>
    </row>
    <row r="153" spans="2:16" s="1" customFormat="1" x14ac:dyDescent="0.25">
      <c r="B153" s="380">
        <v>3</v>
      </c>
      <c r="C153" s="381" t="s">
        <v>464</v>
      </c>
      <c r="D153" s="369">
        <f t="shared" si="92"/>
        <v>100</v>
      </c>
      <c r="E153" s="370">
        <v>1</v>
      </c>
      <c r="F153" s="371">
        <f t="shared" si="93"/>
        <v>34</v>
      </c>
      <c r="G153" s="370">
        <v>3</v>
      </c>
      <c r="H153" s="370">
        <v>1</v>
      </c>
      <c r="I153" s="370">
        <v>30</v>
      </c>
      <c r="J153" s="371">
        <f t="shared" si="94"/>
        <v>65</v>
      </c>
      <c r="K153" s="370">
        <v>40</v>
      </c>
      <c r="L153" s="370">
        <v>24</v>
      </c>
      <c r="M153" s="370">
        <v>1</v>
      </c>
      <c r="N153" s="370">
        <v>0</v>
      </c>
      <c r="O153" s="370">
        <v>0</v>
      </c>
      <c r="P153" s="370">
        <v>0</v>
      </c>
    </row>
    <row r="154" spans="2:16" s="1" customFormat="1" x14ac:dyDescent="0.25">
      <c r="B154" s="380">
        <v>4</v>
      </c>
      <c r="C154" s="381" t="s">
        <v>465</v>
      </c>
      <c r="D154" s="369">
        <f t="shared" si="92"/>
        <v>100</v>
      </c>
      <c r="E154" s="370">
        <v>1</v>
      </c>
      <c r="F154" s="371">
        <f t="shared" si="93"/>
        <v>34</v>
      </c>
      <c r="G154" s="370">
        <v>3</v>
      </c>
      <c r="H154" s="370">
        <v>1</v>
      </c>
      <c r="I154" s="370">
        <v>30</v>
      </c>
      <c r="J154" s="371">
        <f t="shared" si="94"/>
        <v>65</v>
      </c>
      <c r="K154" s="370">
        <v>40</v>
      </c>
      <c r="L154" s="370">
        <v>24</v>
      </c>
      <c r="M154" s="370">
        <v>1</v>
      </c>
      <c r="N154" s="370">
        <v>0</v>
      </c>
      <c r="O154" s="370">
        <v>0</v>
      </c>
      <c r="P154" s="370">
        <v>0</v>
      </c>
    </row>
    <row r="155" spans="2:16" s="1" customFormat="1" ht="30" customHeight="1" thickBot="1" x14ac:dyDescent="0.3">
      <c r="B155" s="382">
        <v>5</v>
      </c>
      <c r="C155" s="383" t="s">
        <v>330</v>
      </c>
      <c r="D155" s="373">
        <f t="shared" si="92"/>
        <v>100</v>
      </c>
      <c r="E155" s="374">
        <v>1</v>
      </c>
      <c r="F155" s="375">
        <f t="shared" si="93"/>
        <v>34</v>
      </c>
      <c r="G155" s="374">
        <v>3</v>
      </c>
      <c r="H155" s="374">
        <v>1</v>
      </c>
      <c r="I155" s="374">
        <v>30</v>
      </c>
      <c r="J155" s="375">
        <f t="shared" si="94"/>
        <v>65</v>
      </c>
      <c r="K155" s="374">
        <v>40</v>
      </c>
      <c r="L155" s="374">
        <v>24</v>
      </c>
      <c r="M155" s="374">
        <v>1</v>
      </c>
      <c r="N155" s="374">
        <v>0</v>
      </c>
      <c r="O155" s="374">
        <v>0</v>
      </c>
      <c r="P155" s="374">
        <v>0</v>
      </c>
    </row>
    <row r="156" spans="2:16" s="1" customFormat="1" ht="15.75" thickBot="1" x14ac:dyDescent="0.3">
      <c r="B156" s="384" t="s">
        <v>75</v>
      </c>
      <c r="C156" s="385" t="s">
        <v>332</v>
      </c>
      <c r="D156" s="386">
        <f t="shared" si="92"/>
        <v>100</v>
      </c>
      <c r="E156" s="387">
        <v>1</v>
      </c>
      <c r="F156" s="388">
        <f t="shared" si="93"/>
        <v>34</v>
      </c>
      <c r="G156" s="387">
        <v>3</v>
      </c>
      <c r="H156" s="387">
        <v>1</v>
      </c>
      <c r="I156" s="387">
        <v>30</v>
      </c>
      <c r="J156" s="388">
        <f t="shared" si="94"/>
        <v>65</v>
      </c>
      <c r="K156" s="387">
        <v>40</v>
      </c>
      <c r="L156" s="387">
        <v>24</v>
      </c>
      <c r="M156" s="387">
        <v>1</v>
      </c>
      <c r="N156" s="387">
        <v>0</v>
      </c>
      <c r="O156" s="387">
        <v>0</v>
      </c>
      <c r="P156" s="387">
        <v>0</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100</v>
      </c>
      <c r="E158" s="370">
        <v>1</v>
      </c>
      <c r="F158" s="371">
        <f>SUM(G158:I158)</f>
        <v>34</v>
      </c>
      <c r="G158" s="370">
        <v>3</v>
      </c>
      <c r="H158" s="370">
        <v>1</v>
      </c>
      <c r="I158" s="370">
        <v>30</v>
      </c>
      <c r="J158" s="371">
        <f>SUM(K158:M158)</f>
        <v>65</v>
      </c>
      <c r="K158" s="370">
        <v>40</v>
      </c>
      <c r="L158" s="370">
        <v>24</v>
      </c>
      <c r="M158" s="370">
        <v>1</v>
      </c>
      <c r="N158" s="370">
        <v>0</v>
      </c>
      <c r="O158" s="370">
        <v>0</v>
      </c>
      <c r="P158" s="370">
        <v>0</v>
      </c>
    </row>
    <row r="159" spans="2:16" s="1" customFormat="1" x14ac:dyDescent="0.25">
      <c r="B159" s="380">
        <v>2</v>
      </c>
      <c r="C159" s="389" t="s">
        <v>338</v>
      </c>
      <c r="D159" s="369">
        <f>E159+F159+J159+N159+O159+P159</f>
        <v>100</v>
      </c>
      <c r="E159" s="370">
        <v>1</v>
      </c>
      <c r="F159" s="371">
        <f>SUM(G159:I159)</f>
        <v>34</v>
      </c>
      <c r="G159" s="370">
        <v>3</v>
      </c>
      <c r="H159" s="370">
        <v>1</v>
      </c>
      <c r="I159" s="370">
        <v>30</v>
      </c>
      <c r="J159" s="371">
        <f>SUM(K159:M159)</f>
        <v>65</v>
      </c>
      <c r="K159" s="370">
        <v>40</v>
      </c>
      <c r="L159" s="370">
        <v>24</v>
      </c>
      <c r="M159" s="370">
        <v>1</v>
      </c>
      <c r="N159" s="370">
        <v>0</v>
      </c>
      <c r="O159" s="370">
        <v>0</v>
      </c>
      <c r="P159" s="370">
        <v>0</v>
      </c>
    </row>
    <row r="160" spans="2:16" s="1" customFormat="1" x14ac:dyDescent="0.25">
      <c r="B160" s="380">
        <v>3</v>
      </c>
      <c r="C160" s="381" t="s">
        <v>468</v>
      </c>
      <c r="D160" s="369">
        <f>E160+F160+J160+N160+O160+P160</f>
        <v>100</v>
      </c>
      <c r="E160" s="370">
        <v>1</v>
      </c>
      <c r="F160" s="371">
        <f>SUM(G160:I160)</f>
        <v>34</v>
      </c>
      <c r="G160" s="370">
        <v>3</v>
      </c>
      <c r="H160" s="370">
        <v>1</v>
      </c>
      <c r="I160" s="370">
        <v>30</v>
      </c>
      <c r="J160" s="371">
        <f>SUM(K160:M160)</f>
        <v>65</v>
      </c>
      <c r="K160" s="370">
        <v>40</v>
      </c>
      <c r="L160" s="370">
        <v>24</v>
      </c>
      <c r="M160" s="370">
        <v>1</v>
      </c>
      <c r="N160" s="370">
        <v>0</v>
      </c>
      <c r="O160" s="370">
        <v>0</v>
      </c>
      <c r="P160" s="370">
        <v>0</v>
      </c>
    </row>
    <row r="161" spans="2:16" s="1" customFormat="1" ht="15.75" thickBot="1" x14ac:dyDescent="0.3">
      <c r="B161" s="382">
        <v>4</v>
      </c>
      <c r="C161" s="383" t="s">
        <v>469</v>
      </c>
      <c r="D161" s="373">
        <f>E161+F161+J161+N161+O161+P161</f>
        <v>100</v>
      </c>
      <c r="E161" s="374">
        <v>1</v>
      </c>
      <c r="F161" s="375">
        <f>SUM(G161:I161)</f>
        <v>34</v>
      </c>
      <c r="G161" s="374">
        <v>3</v>
      </c>
      <c r="H161" s="374">
        <v>1</v>
      </c>
      <c r="I161" s="374">
        <v>30</v>
      </c>
      <c r="J161" s="375">
        <f>SUM(K161:M161)</f>
        <v>65</v>
      </c>
      <c r="K161" s="374">
        <v>40</v>
      </c>
      <c r="L161" s="374">
        <v>24</v>
      </c>
      <c r="M161" s="374">
        <v>1</v>
      </c>
      <c r="N161" s="374">
        <v>0</v>
      </c>
      <c r="O161" s="374">
        <v>0</v>
      </c>
      <c r="P161" s="374">
        <v>0</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100</v>
      </c>
      <c r="E163" s="370">
        <v>1</v>
      </c>
      <c r="F163" s="371">
        <f>SUM(G163:I163)</f>
        <v>34</v>
      </c>
      <c r="G163" s="370">
        <v>3</v>
      </c>
      <c r="H163" s="370">
        <v>1</v>
      </c>
      <c r="I163" s="370">
        <v>30</v>
      </c>
      <c r="J163" s="371">
        <f>SUM(K163:M163)</f>
        <v>65</v>
      </c>
      <c r="K163" s="370">
        <v>40</v>
      </c>
      <c r="L163" s="370">
        <v>24</v>
      </c>
      <c r="M163" s="370">
        <v>1</v>
      </c>
      <c r="N163" s="370">
        <v>0</v>
      </c>
      <c r="O163" s="370">
        <v>0</v>
      </c>
      <c r="P163" s="370">
        <v>0</v>
      </c>
    </row>
    <row r="164" spans="2:16" s="1" customFormat="1" x14ac:dyDescent="0.25">
      <c r="B164" s="382">
        <v>2</v>
      </c>
      <c r="C164" s="383" t="s">
        <v>473</v>
      </c>
      <c r="D164" s="369">
        <f>E164+F164+J164+N164+O164+P164</f>
        <v>100</v>
      </c>
      <c r="E164" s="390">
        <v>1</v>
      </c>
      <c r="F164" s="371">
        <f>SUM(G164:I164)</f>
        <v>34</v>
      </c>
      <c r="G164" s="390">
        <v>3</v>
      </c>
      <c r="H164" s="390">
        <v>1</v>
      </c>
      <c r="I164" s="390">
        <v>30</v>
      </c>
      <c r="J164" s="371">
        <f>SUM(K164:M164)</f>
        <v>65</v>
      </c>
      <c r="K164" s="390">
        <v>40</v>
      </c>
      <c r="L164" s="390">
        <v>24</v>
      </c>
      <c r="M164" s="390">
        <v>1</v>
      </c>
      <c r="N164" s="390">
        <v>0</v>
      </c>
      <c r="O164" s="390">
        <v>0</v>
      </c>
      <c r="P164" s="390">
        <v>0</v>
      </c>
    </row>
    <row r="165" spans="2:16" s="1" customFormat="1" ht="15.75" thickBot="1" x14ac:dyDescent="0.3">
      <c r="B165" s="382">
        <v>3</v>
      </c>
      <c r="C165" s="383" t="s">
        <v>354</v>
      </c>
      <c r="D165" s="373">
        <f>E165+F165+J165+N165+O165+P165</f>
        <v>100</v>
      </c>
      <c r="E165" s="374">
        <v>1</v>
      </c>
      <c r="F165" s="375">
        <f>SUM(G165:I165)</f>
        <v>34</v>
      </c>
      <c r="G165" s="374">
        <v>3</v>
      </c>
      <c r="H165" s="374">
        <v>1</v>
      </c>
      <c r="I165" s="374">
        <v>30</v>
      </c>
      <c r="J165" s="375">
        <f>SUM(K165:M165)</f>
        <v>65</v>
      </c>
      <c r="K165" s="374">
        <v>40</v>
      </c>
      <c r="L165" s="374">
        <v>24</v>
      </c>
      <c r="M165" s="374">
        <v>1</v>
      </c>
      <c r="N165" s="374">
        <v>0</v>
      </c>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100</v>
      </c>
      <c r="E167" s="370">
        <v>1</v>
      </c>
      <c r="F167" s="371">
        <f>SUM(G167:I167)</f>
        <v>34</v>
      </c>
      <c r="G167" s="370">
        <v>3</v>
      </c>
      <c r="H167" s="370">
        <v>1</v>
      </c>
      <c r="I167" s="370">
        <v>30</v>
      </c>
      <c r="J167" s="371">
        <f>SUM(K167:M167)</f>
        <v>65</v>
      </c>
      <c r="K167" s="370">
        <v>40</v>
      </c>
      <c r="L167" s="370">
        <v>24</v>
      </c>
      <c r="M167" s="370">
        <v>1</v>
      </c>
      <c r="N167" s="370">
        <v>0</v>
      </c>
      <c r="O167" s="370">
        <v>0</v>
      </c>
      <c r="P167" s="370">
        <v>0</v>
      </c>
    </row>
    <row r="168" spans="2:16" s="1" customFormat="1" ht="15.75" thickBot="1" x14ac:dyDescent="0.3">
      <c r="B168" s="382">
        <v>2</v>
      </c>
      <c r="C168" s="383" t="s">
        <v>477</v>
      </c>
      <c r="D168" s="373">
        <f>E168+F168+J168+N168+O168+P168</f>
        <v>100</v>
      </c>
      <c r="E168" s="374">
        <v>1</v>
      </c>
      <c r="F168" s="375">
        <f>SUM(G168:I168)</f>
        <v>34</v>
      </c>
      <c r="G168" s="374">
        <v>3</v>
      </c>
      <c r="H168" s="374">
        <v>1</v>
      </c>
      <c r="I168" s="374">
        <v>30</v>
      </c>
      <c r="J168" s="375">
        <f>SUM(K168:M168)</f>
        <v>65</v>
      </c>
      <c r="K168" s="374">
        <v>40</v>
      </c>
      <c r="L168" s="374">
        <v>24</v>
      </c>
      <c r="M168" s="374">
        <v>1</v>
      </c>
      <c r="N168" s="374">
        <v>0</v>
      </c>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100</v>
      </c>
      <c r="E170" s="370">
        <v>1</v>
      </c>
      <c r="F170" s="371">
        <f t="shared" ref="F170:F185" si="96">SUM(G170:I170)</f>
        <v>34</v>
      </c>
      <c r="G170" s="370">
        <v>3</v>
      </c>
      <c r="H170" s="370">
        <v>1</v>
      </c>
      <c r="I170" s="370">
        <v>30</v>
      </c>
      <c r="J170" s="371">
        <f t="shared" ref="J170:J185" si="97">SUM(K170:M170)</f>
        <v>65</v>
      </c>
      <c r="K170" s="370">
        <v>40</v>
      </c>
      <c r="L170" s="370">
        <v>24</v>
      </c>
      <c r="M170" s="370">
        <v>1</v>
      </c>
      <c r="N170" s="370">
        <v>0</v>
      </c>
      <c r="O170" s="370">
        <v>0</v>
      </c>
      <c r="P170" s="370">
        <v>0</v>
      </c>
    </row>
    <row r="171" spans="2:16" s="1" customFormat="1" x14ac:dyDescent="0.25">
      <c r="B171" s="380">
        <v>2</v>
      </c>
      <c r="C171" s="381" t="s">
        <v>481</v>
      </c>
      <c r="D171" s="369">
        <f t="shared" si="95"/>
        <v>100</v>
      </c>
      <c r="E171" s="370">
        <v>1</v>
      </c>
      <c r="F171" s="371">
        <f t="shared" si="96"/>
        <v>34</v>
      </c>
      <c r="G171" s="370">
        <v>3</v>
      </c>
      <c r="H171" s="370">
        <v>1</v>
      </c>
      <c r="I171" s="370">
        <v>30</v>
      </c>
      <c r="J171" s="371">
        <f t="shared" si="97"/>
        <v>65</v>
      </c>
      <c r="K171" s="370">
        <v>40</v>
      </c>
      <c r="L171" s="370">
        <v>24</v>
      </c>
      <c r="M171" s="370">
        <v>1</v>
      </c>
      <c r="N171" s="370">
        <v>0</v>
      </c>
      <c r="O171" s="370">
        <v>0</v>
      </c>
      <c r="P171" s="370">
        <v>0</v>
      </c>
    </row>
    <row r="172" spans="2:16" s="1" customFormat="1" x14ac:dyDescent="0.25">
      <c r="B172" s="380">
        <v>3</v>
      </c>
      <c r="C172" s="381" t="s">
        <v>482</v>
      </c>
      <c r="D172" s="369">
        <f t="shared" si="95"/>
        <v>100</v>
      </c>
      <c r="E172" s="370">
        <v>1</v>
      </c>
      <c r="F172" s="371">
        <f t="shared" si="96"/>
        <v>34</v>
      </c>
      <c r="G172" s="370">
        <v>3</v>
      </c>
      <c r="H172" s="370">
        <v>1</v>
      </c>
      <c r="I172" s="370">
        <v>30</v>
      </c>
      <c r="J172" s="371">
        <f t="shared" si="97"/>
        <v>65</v>
      </c>
      <c r="K172" s="370">
        <v>40</v>
      </c>
      <c r="L172" s="370">
        <v>24</v>
      </c>
      <c r="M172" s="370">
        <v>1</v>
      </c>
      <c r="N172" s="370">
        <v>0</v>
      </c>
      <c r="O172" s="370">
        <v>0</v>
      </c>
      <c r="P172" s="370">
        <v>0</v>
      </c>
    </row>
    <row r="173" spans="2:16" s="1" customFormat="1" x14ac:dyDescent="0.25">
      <c r="B173" s="380">
        <v>4</v>
      </c>
      <c r="C173" s="381" t="s">
        <v>483</v>
      </c>
      <c r="D173" s="369">
        <f t="shared" si="95"/>
        <v>100</v>
      </c>
      <c r="E173" s="370">
        <v>1</v>
      </c>
      <c r="F173" s="371">
        <f t="shared" si="96"/>
        <v>34</v>
      </c>
      <c r="G173" s="370">
        <v>3</v>
      </c>
      <c r="H173" s="370">
        <v>1</v>
      </c>
      <c r="I173" s="370">
        <v>30</v>
      </c>
      <c r="J173" s="371">
        <f t="shared" si="97"/>
        <v>65</v>
      </c>
      <c r="K173" s="370">
        <v>40</v>
      </c>
      <c r="L173" s="370">
        <v>24</v>
      </c>
      <c r="M173" s="370">
        <v>1</v>
      </c>
      <c r="N173" s="370">
        <v>0</v>
      </c>
      <c r="O173" s="370">
        <v>0</v>
      </c>
      <c r="P173" s="370">
        <v>0</v>
      </c>
    </row>
    <row r="174" spans="2:16" s="1" customFormat="1" x14ac:dyDescent="0.25">
      <c r="B174" s="380">
        <v>5</v>
      </c>
      <c r="C174" s="381" t="s">
        <v>484</v>
      </c>
      <c r="D174" s="369">
        <f t="shared" si="95"/>
        <v>100</v>
      </c>
      <c r="E174" s="370">
        <v>1</v>
      </c>
      <c r="F174" s="371">
        <f t="shared" si="96"/>
        <v>34</v>
      </c>
      <c r="G174" s="370">
        <v>3</v>
      </c>
      <c r="H174" s="370">
        <v>1</v>
      </c>
      <c r="I174" s="370">
        <v>30</v>
      </c>
      <c r="J174" s="371">
        <f t="shared" si="97"/>
        <v>65</v>
      </c>
      <c r="K174" s="370">
        <v>40</v>
      </c>
      <c r="L174" s="370">
        <v>24</v>
      </c>
      <c r="M174" s="370">
        <v>1</v>
      </c>
      <c r="N174" s="370">
        <v>0</v>
      </c>
      <c r="O174" s="370">
        <v>0</v>
      </c>
      <c r="P174" s="370">
        <v>0</v>
      </c>
    </row>
    <row r="175" spans="2:16" s="1" customFormat="1" x14ac:dyDescent="0.25">
      <c r="B175" s="380">
        <v>6</v>
      </c>
      <c r="C175" s="381" t="s">
        <v>485</v>
      </c>
      <c r="D175" s="369">
        <f t="shared" si="95"/>
        <v>100</v>
      </c>
      <c r="E175" s="370">
        <v>1</v>
      </c>
      <c r="F175" s="371">
        <f t="shared" si="96"/>
        <v>34</v>
      </c>
      <c r="G175" s="370">
        <v>3</v>
      </c>
      <c r="H175" s="370">
        <v>1</v>
      </c>
      <c r="I175" s="370">
        <v>30</v>
      </c>
      <c r="J175" s="371">
        <f t="shared" si="97"/>
        <v>65</v>
      </c>
      <c r="K175" s="370">
        <v>40</v>
      </c>
      <c r="L175" s="370">
        <v>24</v>
      </c>
      <c r="M175" s="370">
        <v>1</v>
      </c>
      <c r="N175" s="370">
        <v>0</v>
      </c>
      <c r="O175" s="370">
        <v>0</v>
      </c>
      <c r="P175" s="370">
        <v>0</v>
      </c>
    </row>
    <row r="176" spans="2:16" s="1" customFormat="1" x14ac:dyDescent="0.25">
      <c r="B176" s="380">
        <v>7</v>
      </c>
      <c r="C176" s="381" t="s">
        <v>486</v>
      </c>
      <c r="D176" s="369">
        <f t="shared" si="95"/>
        <v>100</v>
      </c>
      <c r="E176" s="370">
        <v>1</v>
      </c>
      <c r="F176" s="371">
        <f t="shared" si="96"/>
        <v>34</v>
      </c>
      <c r="G176" s="370">
        <v>3</v>
      </c>
      <c r="H176" s="370">
        <v>1</v>
      </c>
      <c r="I176" s="370">
        <v>30</v>
      </c>
      <c r="J176" s="371">
        <f t="shared" si="97"/>
        <v>65</v>
      </c>
      <c r="K176" s="370">
        <v>40</v>
      </c>
      <c r="L176" s="370">
        <v>24</v>
      </c>
      <c r="M176" s="370">
        <v>1</v>
      </c>
      <c r="N176" s="370">
        <v>0</v>
      </c>
      <c r="O176" s="370">
        <v>0</v>
      </c>
      <c r="P176" s="370">
        <v>0</v>
      </c>
    </row>
    <row r="177" spans="1:19" s="1" customFormat="1" x14ac:dyDescent="0.25">
      <c r="B177" s="380">
        <v>8</v>
      </c>
      <c r="C177" s="381" t="s">
        <v>487</v>
      </c>
      <c r="D177" s="369">
        <f t="shared" si="95"/>
        <v>100</v>
      </c>
      <c r="E177" s="370">
        <v>1</v>
      </c>
      <c r="F177" s="371">
        <f t="shared" si="96"/>
        <v>34</v>
      </c>
      <c r="G177" s="370">
        <v>3</v>
      </c>
      <c r="H177" s="370">
        <v>1</v>
      </c>
      <c r="I177" s="370">
        <v>30</v>
      </c>
      <c r="J177" s="371">
        <f t="shared" si="97"/>
        <v>65</v>
      </c>
      <c r="K177" s="370">
        <v>40</v>
      </c>
      <c r="L177" s="370">
        <v>24</v>
      </c>
      <c r="M177" s="370">
        <v>1</v>
      </c>
      <c r="N177" s="370">
        <v>0</v>
      </c>
      <c r="O177" s="370">
        <v>0</v>
      </c>
      <c r="P177" s="370">
        <v>0</v>
      </c>
    </row>
    <row r="178" spans="1:19" s="1" customFormat="1" x14ac:dyDescent="0.25">
      <c r="B178" s="380">
        <v>9</v>
      </c>
      <c r="C178" s="381" t="s">
        <v>488</v>
      </c>
      <c r="D178" s="369">
        <f t="shared" si="95"/>
        <v>100</v>
      </c>
      <c r="E178" s="370">
        <v>1</v>
      </c>
      <c r="F178" s="371">
        <f t="shared" si="96"/>
        <v>34</v>
      </c>
      <c r="G178" s="370">
        <v>3</v>
      </c>
      <c r="H178" s="370">
        <v>1</v>
      </c>
      <c r="I178" s="370">
        <v>30</v>
      </c>
      <c r="J178" s="371">
        <f t="shared" si="97"/>
        <v>65</v>
      </c>
      <c r="K178" s="370">
        <v>40</v>
      </c>
      <c r="L178" s="370">
        <v>24</v>
      </c>
      <c r="M178" s="370">
        <v>1</v>
      </c>
      <c r="N178" s="370">
        <v>0</v>
      </c>
      <c r="O178" s="370">
        <v>0</v>
      </c>
      <c r="P178" s="370">
        <v>0</v>
      </c>
    </row>
    <row r="179" spans="1:19" s="1" customFormat="1" x14ac:dyDescent="0.25">
      <c r="B179" s="380">
        <v>10</v>
      </c>
      <c r="C179" s="381" t="s">
        <v>489</v>
      </c>
      <c r="D179" s="369">
        <f t="shared" si="95"/>
        <v>100</v>
      </c>
      <c r="E179" s="370">
        <v>1</v>
      </c>
      <c r="F179" s="371">
        <f t="shared" si="96"/>
        <v>34</v>
      </c>
      <c r="G179" s="370">
        <v>3</v>
      </c>
      <c r="H179" s="370">
        <v>1</v>
      </c>
      <c r="I179" s="370">
        <v>30</v>
      </c>
      <c r="J179" s="371">
        <f t="shared" si="97"/>
        <v>65</v>
      </c>
      <c r="K179" s="370">
        <v>40</v>
      </c>
      <c r="L179" s="370">
        <v>24</v>
      </c>
      <c r="M179" s="370">
        <v>1</v>
      </c>
      <c r="N179" s="370">
        <v>0</v>
      </c>
      <c r="O179" s="370">
        <v>0</v>
      </c>
      <c r="P179" s="370">
        <v>0</v>
      </c>
    </row>
    <row r="180" spans="1:19" s="1" customFormat="1" x14ac:dyDescent="0.25">
      <c r="B180" s="380">
        <v>11</v>
      </c>
      <c r="C180" s="381" t="s">
        <v>490</v>
      </c>
      <c r="D180" s="369">
        <f t="shared" si="95"/>
        <v>100</v>
      </c>
      <c r="E180" s="370">
        <v>1</v>
      </c>
      <c r="F180" s="371">
        <f t="shared" si="96"/>
        <v>34</v>
      </c>
      <c r="G180" s="370">
        <v>3</v>
      </c>
      <c r="H180" s="370">
        <v>1</v>
      </c>
      <c r="I180" s="370">
        <v>30</v>
      </c>
      <c r="J180" s="371">
        <f t="shared" si="97"/>
        <v>65</v>
      </c>
      <c r="K180" s="370">
        <v>40</v>
      </c>
      <c r="L180" s="370">
        <v>24</v>
      </c>
      <c r="M180" s="370">
        <v>1</v>
      </c>
      <c r="N180" s="370">
        <v>0</v>
      </c>
      <c r="O180" s="370">
        <v>0</v>
      </c>
      <c r="P180" s="370">
        <v>0</v>
      </c>
    </row>
    <row r="181" spans="1:19" s="1" customFormat="1" x14ac:dyDescent="0.25">
      <c r="B181" s="380">
        <v>12</v>
      </c>
      <c r="C181" s="381" t="s">
        <v>491</v>
      </c>
      <c r="D181" s="369">
        <f t="shared" si="95"/>
        <v>100</v>
      </c>
      <c r="E181" s="370">
        <v>1</v>
      </c>
      <c r="F181" s="371">
        <f t="shared" si="96"/>
        <v>34</v>
      </c>
      <c r="G181" s="370">
        <v>3</v>
      </c>
      <c r="H181" s="370">
        <v>1</v>
      </c>
      <c r="I181" s="370">
        <v>30</v>
      </c>
      <c r="J181" s="371">
        <f t="shared" si="97"/>
        <v>65</v>
      </c>
      <c r="K181" s="370">
        <v>40</v>
      </c>
      <c r="L181" s="370">
        <v>24</v>
      </c>
      <c r="M181" s="370">
        <v>1</v>
      </c>
      <c r="N181" s="370">
        <v>0</v>
      </c>
      <c r="O181" s="370">
        <v>0</v>
      </c>
      <c r="P181" s="370">
        <v>0</v>
      </c>
    </row>
    <row r="182" spans="1:19" s="1" customFormat="1" x14ac:dyDescent="0.25">
      <c r="B182" s="380">
        <v>13</v>
      </c>
      <c r="C182" s="381" t="s">
        <v>492</v>
      </c>
      <c r="D182" s="369">
        <f t="shared" si="95"/>
        <v>100</v>
      </c>
      <c r="E182" s="370">
        <v>1</v>
      </c>
      <c r="F182" s="371">
        <f t="shared" si="96"/>
        <v>34</v>
      </c>
      <c r="G182" s="370">
        <v>3</v>
      </c>
      <c r="H182" s="370">
        <v>1</v>
      </c>
      <c r="I182" s="370">
        <v>30</v>
      </c>
      <c r="J182" s="371">
        <f t="shared" si="97"/>
        <v>65</v>
      </c>
      <c r="K182" s="370">
        <v>40</v>
      </c>
      <c r="L182" s="370">
        <v>24</v>
      </c>
      <c r="M182" s="370">
        <v>1</v>
      </c>
      <c r="N182" s="370">
        <v>0</v>
      </c>
      <c r="O182" s="370">
        <v>0</v>
      </c>
      <c r="P182" s="370">
        <v>0</v>
      </c>
    </row>
    <row r="183" spans="1:19" s="1" customFormat="1" ht="15.75" thickBot="1" x14ac:dyDescent="0.3">
      <c r="B183" s="382">
        <v>14</v>
      </c>
      <c r="C183" s="383" t="s">
        <v>493</v>
      </c>
      <c r="D183" s="373">
        <f t="shared" si="95"/>
        <v>100</v>
      </c>
      <c r="E183" s="374">
        <v>1</v>
      </c>
      <c r="F183" s="375">
        <f t="shared" si="96"/>
        <v>34</v>
      </c>
      <c r="G183" s="374">
        <v>3</v>
      </c>
      <c r="H183" s="374">
        <v>1</v>
      </c>
      <c r="I183" s="374">
        <v>30</v>
      </c>
      <c r="J183" s="375">
        <f t="shared" si="97"/>
        <v>65</v>
      </c>
      <c r="K183" s="374">
        <v>40</v>
      </c>
      <c r="L183" s="374">
        <v>24</v>
      </c>
      <c r="M183" s="374">
        <v>1</v>
      </c>
      <c r="N183" s="374">
        <v>0</v>
      </c>
      <c r="O183" s="374">
        <v>0</v>
      </c>
      <c r="P183" s="374">
        <v>0</v>
      </c>
    </row>
    <row r="184" spans="1:19" s="1" customFormat="1" ht="15.75" thickBot="1" x14ac:dyDescent="0.3">
      <c r="B184" s="384" t="s">
        <v>494</v>
      </c>
      <c r="C184" s="385" t="s">
        <v>392</v>
      </c>
      <c r="D184" s="386">
        <f t="shared" si="95"/>
        <v>100</v>
      </c>
      <c r="E184" s="387">
        <v>1</v>
      </c>
      <c r="F184" s="388">
        <f t="shared" si="96"/>
        <v>34</v>
      </c>
      <c r="G184" s="387">
        <v>3</v>
      </c>
      <c r="H184" s="387">
        <v>1</v>
      </c>
      <c r="I184" s="387">
        <v>30</v>
      </c>
      <c r="J184" s="388">
        <f t="shared" si="97"/>
        <v>65</v>
      </c>
      <c r="K184" s="387">
        <v>40</v>
      </c>
      <c r="L184" s="387">
        <v>24</v>
      </c>
      <c r="M184" s="387">
        <v>1</v>
      </c>
      <c r="N184" s="387">
        <v>0</v>
      </c>
      <c r="O184" s="387">
        <v>0</v>
      </c>
      <c r="P184" s="387">
        <v>0</v>
      </c>
    </row>
    <row r="185" spans="1:19" s="1" customFormat="1" ht="15.75" thickBot="1" x14ac:dyDescent="0.3">
      <c r="B185" s="391" t="s">
        <v>495</v>
      </c>
      <c r="C185" s="392" t="s">
        <v>394</v>
      </c>
      <c r="D185" s="393">
        <f t="shared" si="95"/>
        <v>100</v>
      </c>
      <c r="E185" s="394">
        <v>1</v>
      </c>
      <c r="F185" s="395">
        <f t="shared" si="96"/>
        <v>34</v>
      </c>
      <c r="G185" s="394">
        <v>3</v>
      </c>
      <c r="H185" s="394">
        <v>1</v>
      </c>
      <c r="I185" s="394">
        <v>30</v>
      </c>
      <c r="J185" s="395">
        <f t="shared" si="97"/>
        <v>65</v>
      </c>
      <c r="K185" s="394">
        <v>40</v>
      </c>
      <c r="L185" s="394">
        <v>24</v>
      </c>
      <c r="M185" s="394">
        <v>1</v>
      </c>
      <c r="N185" s="394">
        <v>0</v>
      </c>
      <c r="O185" s="394">
        <v>0</v>
      </c>
      <c r="P185" s="394">
        <v>0</v>
      </c>
    </row>
    <row r="186" spans="1:19" s="1" customFormat="1" ht="45" customHeight="1" thickTop="1" thickBot="1" x14ac:dyDescent="0.3">
      <c r="B186" s="134" t="s">
        <v>77</v>
      </c>
      <c r="C186" s="135" t="s">
        <v>496</v>
      </c>
      <c r="D186" s="324">
        <f t="shared" ref="D186:P186" si="98">D187+D189+D192+D194+D201+D200+D206+D210+D213+D229+D230</f>
        <v>316.31</v>
      </c>
      <c r="E186" s="396">
        <f t="shared" si="98"/>
        <v>40.195610310540232</v>
      </c>
      <c r="F186" s="134">
        <f t="shared" si="98"/>
        <v>103.60753150026559</v>
      </c>
      <c r="G186" s="229">
        <f t="shared" si="98"/>
        <v>18.215879101057908</v>
      </c>
      <c r="H186" s="230">
        <f t="shared" si="98"/>
        <v>6.7886569058504875</v>
      </c>
      <c r="I186" s="231">
        <f t="shared" si="98"/>
        <v>78.602995493357184</v>
      </c>
      <c r="J186" s="134">
        <f t="shared" si="98"/>
        <v>159.30474521039184</v>
      </c>
      <c r="K186" s="229">
        <f t="shared" si="98"/>
        <v>74.495151854501657</v>
      </c>
      <c r="L186" s="230">
        <f t="shared" si="98"/>
        <v>72.410739993029352</v>
      </c>
      <c r="M186" s="230">
        <f t="shared" si="98"/>
        <v>12.398853362860841</v>
      </c>
      <c r="N186" s="227">
        <f t="shared" si="98"/>
        <v>5.1716698680805804</v>
      </c>
      <c r="O186" s="228">
        <f t="shared" si="98"/>
        <v>0</v>
      </c>
      <c r="P186" s="134">
        <f t="shared" si="98"/>
        <v>7.8442553934564163</v>
      </c>
      <c r="Q186" s="325"/>
      <c r="R186" s="326"/>
      <c r="S186" s="205"/>
    </row>
    <row r="187" spans="1:19" s="1" customFormat="1" ht="15.75" thickTop="1" x14ac:dyDescent="0.25">
      <c r="B187" s="397" t="s">
        <v>497</v>
      </c>
      <c r="C187" s="398" t="s">
        <v>303</v>
      </c>
      <c r="D187" s="399">
        <f t="shared" ref="D187:P187" si="99">D188</f>
        <v>2.17</v>
      </c>
      <c r="E187" s="400">
        <f t="shared" si="99"/>
        <v>0.27666050301885398</v>
      </c>
      <c r="F187" s="397">
        <f t="shared" si="99"/>
        <v>0.71189696632959221</v>
      </c>
      <c r="G187" s="401">
        <f t="shared" si="99"/>
        <v>0.12446941512019856</v>
      </c>
      <c r="H187" s="402">
        <f t="shared" si="99"/>
        <v>4.6580494128977294E-2</v>
      </c>
      <c r="I187" s="403">
        <f t="shared" si="99"/>
        <v>0.54084705708041636</v>
      </c>
      <c r="J187" s="397">
        <f t="shared" si="99"/>
        <v>1.0918540578582805</v>
      </c>
      <c r="K187" s="401">
        <f t="shared" si="99"/>
        <v>0.51080357076712235</v>
      </c>
      <c r="L187" s="402">
        <f t="shared" si="99"/>
        <v>0.49604868689113601</v>
      </c>
      <c r="M187" s="402">
        <f t="shared" si="99"/>
        <v>8.5001800200022209E-2</v>
      </c>
      <c r="N187" s="404">
        <f t="shared" si="99"/>
        <v>3.5596547764566437E-2</v>
      </c>
      <c r="O187" s="405">
        <f t="shared" si="99"/>
        <v>0</v>
      </c>
      <c r="P187" s="397">
        <f t="shared" si="99"/>
        <v>5.3991925028706901E-2</v>
      </c>
      <c r="Q187" s="325"/>
      <c r="R187" s="326"/>
    </row>
    <row r="188" spans="1:19" s="1" customFormat="1" ht="26.25" thickBot="1" x14ac:dyDescent="0.3">
      <c r="A188" s="406"/>
      <c r="B188" s="171" t="s">
        <v>498</v>
      </c>
      <c r="C188" s="168" t="s">
        <v>499</v>
      </c>
      <c r="D188" s="407">
        <v>2.17</v>
      </c>
      <c r="E188" s="408">
        <f>IFERROR($D188*E$237/100, 0)</f>
        <v>0.27666050301885398</v>
      </c>
      <c r="F188" s="314">
        <f>SUM(G188:I188)</f>
        <v>0.71189696632959221</v>
      </c>
      <c r="G188" s="409">
        <f>IFERROR($D188*G$237/100, 0)</f>
        <v>0.12446941512019856</v>
      </c>
      <c r="H188" s="410">
        <f>IFERROR($D188*H$237/100, 0)</f>
        <v>4.6580494128977294E-2</v>
      </c>
      <c r="I188" s="411">
        <f>IFERROR($D188*I$237/100, 0)</f>
        <v>0.54084705708041636</v>
      </c>
      <c r="J188" s="314">
        <f t="shared" ref="J188:J235" si="100">SUM(K188:M188)</f>
        <v>1.0918540578582805</v>
      </c>
      <c r="K188" s="409">
        <f t="shared" ref="K188:P188" si="101">IFERROR($D188*K$237/100, 0)</f>
        <v>0.51080357076712235</v>
      </c>
      <c r="L188" s="410">
        <f t="shared" si="101"/>
        <v>0.49604868689113601</v>
      </c>
      <c r="M188" s="410">
        <f t="shared" si="101"/>
        <v>8.5001800200022209E-2</v>
      </c>
      <c r="N188" s="412">
        <f t="shared" si="101"/>
        <v>3.5596547764566437E-2</v>
      </c>
      <c r="O188" s="413">
        <f t="shared" si="101"/>
        <v>0</v>
      </c>
      <c r="P188" s="314">
        <f t="shared" si="101"/>
        <v>5.3991925028706901E-2</v>
      </c>
      <c r="Q188" s="336"/>
      <c r="R188" s="337"/>
    </row>
    <row r="189" spans="1:19" s="4" customFormat="1" x14ac:dyDescent="0.25">
      <c r="B189" s="150" t="s">
        <v>171</v>
      </c>
      <c r="C189" s="204" t="s">
        <v>313</v>
      </c>
      <c r="D189" s="338">
        <f t="shared" ref="D189:I189" si="102">SUM(D190:D191)</f>
        <v>5.47</v>
      </c>
      <c r="E189" s="414">
        <f t="shared" si="102"/>
        <v>0.6973884569184936</v>
      </c>
      <c r="F189" s="154">
        <f t="shared" si="102"/>
        <v>1.7945052561395716</v>
      </c>
      <c r="G189" s="155">
        <f t="shared" si="102"/>
        <v>0.31375470078686002</v>
      </c>
      <c r="H189" s="156">
        <f t="shared" si="102"/>
        <v>0.11741719026981834</v>
      </c>
      <c r="I189" s="157">
        <f t="shared" si="102"/>
        <v>1.3633333650828932</v>
      </c>
      <c r="J189" s="154">
        <f t="shared" si="100"/>
        <v>2.7522772794860804</v>
      </c>
      <c r="K189" s="155">
        <f t="shared" ref="K189:P189" si="103">SUM(K190:K191)</f>
        <v>1.2876016276940825</v>
      </c>
      <c r="L189" s="156">
        <f t="shared" si="103"/>
        <v>1.2504084411495455</v>
      </c>
      <c r="M189" s="156">
        <f t="shared" si="103"/>
        <v>0.21426721064245233</v>
      </c>
      <c r="N189" s="152">
        <f t="shared" si="103"/>
        <v>8.9729546669206642E-2</v>
      </c>
      <c r="O189" s="153">
        <f t="shared" si="103"/>
        <v>0</v>
      </c>
      <c r="P189" s="154">
        <f t="shared" si="103"/>
        <v>0.13609946078664825</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5.47</v>
      </c>
      <c r="E191" s="418">
        <f>IFERROR($D191*E$237/100, 0)</f>
        <v>0.6973884569184936</v>
      </c>
      <c r="F191" s="347">
        <f t="shared" si="104"/>
        <v>1.7945052561395716</v>
      </c>
      <c r="G191" s="348">
        <f t="shared" si="105"/>
        <v>0.31375470078686002</v>
      </c>
      <c r="H191" s="349">
        <f t="shared" si="105"/>
        <v>0.11741719026981834</v>
      </c>
      <c r="I191" s="350">
        <f t="shared" si="105"/>
        <v>1.3633333650828932</v>
      </c>
      <c r="J191" s="347">
        <f t="shared" si="100"/>
        <v>2.7522772794860804</v>
      </c>
      <c r="K191" s="348">
        <f t="shared" si="106"/>
        <v>1.2876016276940825</v>
      </c>
      <c r="L191" s="349">
        <f t="shared" si="106"/>
        <v>1.2504084411495455</v>
      </c>
      <c r="M191" s="349">
        <f t="shared" si="106"/>
        <v>0.21426721064245233</v>
      </c>
      <c r="N191" s="351">
        <f t="shared" si="106"/>
        <v>8.9729546669206642E-2</v>
      </c>
      <c r="O191" s="346">
        <f t="shared" si="106"/>
        <v>0</v>
      </c>
      <c r="P191" s="347">
        <f t="shared" si="106"/>
        <v>0.13609946078664825</v>
      </c>
      <c r="Q191" s="336"/>
      <c r="R191" s="337"/>
    </row>
    <row r="192" spans="1:19" s="1" customFormat="1" x14ac:dyDescent="0.25">
      <c r="B192" s="142" t="s">
        <v>173</v>
      </c>
      <c r="C192" s="143" t="s">
        <v>319</v>
      </c>
      <c r="D192" s="419">
        <f>D193</f>
        <v>5.85</v>
      </c>
      <c r="E192" s="420">
        <f>E193</f>
        <v>0.74583591827663398</v>
      </c>
      <c r="F192" s="146">
        <f t="shared" si="104"/>
        <v>1.9191692410267811</v>
      </c>
      <c r="G192" s="147">
        <f>G193</f>
        <v>0.33555118822726343</v>
      </c>
      <c r="H192" s="148">
        <f>H193</f>
        <v>0.12557414315876367</v>
      </c>
      <c r="I192" s="149">
        <f>I193</f>
        <v>1.458043909640754</v>
      </c>
      <c r="J192" s="146">
        <f t="shared" si="100"/>
        <v>2.9434775292492814</v>
      </c>
      <c r="K192" s="147">
        <f t="shared" ref="K192:P192" si="107">K193</f>
        <v>1.3770511009159747</v>
      </c>
      <c r="L192" s="148">
        <f t="shared" si="107"/>
        <v>1.3372741098217262</v>
      </c>
      <c r="M192" s="148">
        <f t="shared" si="107"/>
        <v>0.2291523185115806</v>
      </c>
      <c r="N192" s="144">
        <f t="shared" si="107"/>
        <v>9.5963043512771268E-2</v>
      </c>
      <c r="O192" s="145">
        <f t="shared" si="107"/>
        <v>0</v>
      </c>
      <c r="P192" s="146">
        <f t="shared" si="107"/>
        <v>0.14555426793453241</v>
      </c>
      <c r="Q192" s="325"/>
      <c r="R192" s="326"/>
    </row>
    <row r="193" spans="2:18" s="1" customFormat="1" ht="15.75" thickBot="1" x14ac:dyDescent="0.3">
      <c r="B193" s="167" t="s">
        <v>503</v>
      </c>
      <c r="C193" s="168" t="s">
        <v>321</v>
      </c>
      <c r="D193" s="335">
        <v>5.85</v>
      </c>
      <c r="E193" s="415">
        <f>IFERROR($D193*E$237/100, 0)</f>
        <v>0.74583591827663398</v>
      </c>
      <c r="F193" s="206">
        <f t="shared" si="104"/>
        <v>1.9191692410267811</v>
      </c>
      <c r="G193" s="210">
        <f>IFERROR($D193*G$237/100, 0)</f>
        <v>0.33555118822726343</v>
      </c>
      <c r="H193" s="211">
        <f>IFERROR($D193*H$237/100, 0)</f>
        <v>0.12557414315876367</v>
      </c>
      <c r="I193" s="212">
        <f>IFERROR($D193*I$237/100, 0)</f>
        <v>1.458043909640754</v>
      </c>
      <c r="J193" s="206">
        <f t="shared" si="100"/>
        <v>2.9434775292492814</v>
      </c>
      <c r="K193" s="210">
        <f t="shared" ref="K193:P193" si="108">IFERROR($D193*K$237/100, 0)</f>
        <v>1.3770511009159747</v>
      </c>
      <c r="L193" s="211">
        <f t="shared" si="108"/>
        <v>1.3372741098217262</v>
      </c>
      <c r="M193" s="211">
        <f t="shared" si="108"/>
        <v>0.2291523185115806</v>
      </c>
      <c r="N193" s="208">
        <f t="shared" si="108"/>
        <v>9.5963043512771268E-2</v>
      </c>
      <c r="O193" s="209">
        <f t="shared" si="108"/>
        <v>0</v>
      </c>
      <c r="P193" s="206">
        <f t="shared" si="108"/>
        <v>0.14555426793453241</v>
      </c>
      <c r="Q193" s="336"/>
      <c r="R193" s="337"/>
    </row>
    <row r="194" spans="2:18" s="4" customFormat="1" x14ac:dyDescent="0.25">
      <c r="B194" s="150" t="s">
        <v>175</v>
      </c>
      <c r="C194" s="204" t="s">
        <v>323</v>
      </c>
      <c r="D194" s="338">
        <f>SUM(D195:D199)</f>
        <v>0.48</v>
      </c>
      <c r="E194" s="414">
        <f>SUM(E195:E199)</f>
        <v>6.119679329449304E-2</v>
      </c>
      <c r="F194" s="154">
        <f t="shared" si="104"/>
        <v>0.15747029669963331</v>
      </c>
      <c r="G194" s="155">
        <f>SUM(G195:G199)</f>
        <v>2.7532405187878025E-2</v>
      </c>
      <c r="H194" s="156">
        <f>SUM(H195:H199)</f>
        <v>1.0303519438667787E-2</v>
      </c>
      <c r="I194" s="157">
        <f>SUM(I195:I199)</f>
        <v>0.11963437207308751</v>
      </c>
      <c r="J194" s="154">
        <f t="shared" si="100"/>
        <v>0.24151610496404363</v>
      </c>
      <c r="K194" s="155">
        <f t="shared" ref="K194:P194" si="109">SUM(K195:K199)</f>
        <v>0.11298880828028512</v>
      </c>
      <c r="L194" s="156">
        <f t="shared" si="109"/>
        <v>0.10972505516485959</v>
      </c>
      <c r="M194" s="156">
        <f t="shared" si="109"/>
        <v>1.8802241518898925E-2</v>
      </c>
      <c r="N194" s="152">
        <f t="shared" si="109"/>
        <v>7.8738907497658481E-3</v>
      </c>
      <c r="O194" s="153">
        <f t="shared" si="109"/>
        <v>0</v>
      </c>
      <c r="P194" s="154">
        <f t="shared" si="109"/>
        <v>1.19429142920642E-2</v>
      </c>
      <c r="Q194" s="325"/>
      <c r="R194" s="326"/>
    </row>
    <row r="195" spans="2:18" s="1" customFormat="1" x14ac:dyDescent="0.25">
      <c r="B195" s="167" t="s">
        <v>504</v>
      </c>
      <c r="C195" s="168" t="s">
        <v>277</v>
      </c>
      <c r="D195" s="335">
        <v>0</v>
      </c>
      <c r="E195" s="415">
        <f>IFERROR($D195*E$237/100, 0)</f>
        <v>0</v>
      </c>
      <c r="F195" s="206">
        <f t="shared" si="104"/>
        <v>0</v>
      </c>
      <c r="G195" s="210">
        <f t="shared" ref="G195:I199" si="110">IFERROR($D195*G$237/100, 0)</f>
        <v>0</v>
      </c>
      <c r="H195" s="211">
        <f t="shared" si="110"/>
        <v>0</v>
      </c>
      <c r="I195" s="212">
        <f t="shared" si="110"/>
        <v>0</v>
      </c>
      <c r="J195" s="206">
        <f t="shared" si="100"/>
        <v>0</v>
      </c>
      <c r="K195" s="210">
        <f t="shared" ref="K195:P199" si="111">IFERROR($D195*K$237/100, 0)</f>
        <v>0</v>
      </c>
      <c r="L195" s="211">
        <f t="shared" si="111"/>
        <v>0</v>
      </c>
      <c r="M195" s="211">
        <f t="shared" si="111"/>
        <v>0</v>
      </c>
      <c r="N195" s="208">
        <f t="shared" si="111"/>
        <v>0</v>
      </c>
      <c r="O195" s="209">
        <f t="shared" si="111"/>
        <v>0</v>
      </c>
      <c r="P195" s="206">
        <f t="shared" si="111"/>
        <v>0</v>
      </c>
      <c r="Q195" s="336"/>
      <c r="R195" s="337"/>
    </row>
    <row r="196" spans="2:18" s="1" customFormat="1" x14ac:dyDescent="0.25">
      <c r="B196" s="167" t="s">
        <v>505</v>
      </c>
      <c r="C196" s="168" t="s">
        <v>281</v>
      </c>
      <c r="D196" s="335">
        <v>0.48</v>
      </c>
      <c r="E196" s="415">
        <f>IFERROR($D196*E$237/100, 0)</f>
        <v>6.119679329449304E-2</v>
      </c>
      <c r="F196" s="206">
        <f t="shared" si="104"/>
        <v>0.15747029669963331</v>
      </c>
      <c r="G196" s="210">
        <f t="shared" si="110"/>
        <v>2.7532405187878025E-2</v>
      </c>
      <c r="H196" s="211">
        <f t="shared" si="110"/>
        <v>1.0303519438667787E-2</v>
      </c>
      <c r="I196" s="212">
        <f t="shared" si="110"/>
        <v>0.11963437207308751</v>
      </c>
      <c r="J196" s="206">
        <f t="shared" si="100"/>
        <v>0.24151610496404363</v>
      </c>
      <c r="K196" s="210">
        <f t="shared" si="111"/>
        <v>0.11298880828028512</v>
      </c>
      <c r="L196" s="211">
        <f t="shared" si="111"/>
        <v>0.10972505516485959</v>
      </c>
      <c r="M196" s="211">
        <f t="shared" si="111"/>
        <v>1.8802241518898925E-2</v>
      </c>
      <c r="N196" s="208">
        <f t="shared" si="111"/>
        <v>7.8738907497658481E-3</v>
      </c>
      <c r="O196" s="209">
        <f t="shared" si="111"/>
        <v>0</v>
      </c>
      <c r="P196" s="206">
        <f t="shared" si="111"/>
        <v>1.19429142920642E-2</v>
      </c>
      <c r="Q196" s="336"/>
      <c r="R196" s="337"/>
    </row>
    <row r="197" spans="2:18" s="1" customFormat="1" x14ac:dyDescent="0.25">
      <c r="B197" s="167" t="s">
        <v>506</v>
      </c>
      <c r="C197" s="250" t="s">
        <v>327</v>
      </c>
      <c r="D197" s="335" t="s">
        <v>1249</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x14ac:dyDescent="0.3">
      <c r="B200" s="150" t="s">
        <v>177</v>
      </c>
      <c r="C200" s="239" t="s">
        <v>332</v>
      </c>
      <c r="D200" s="421">
        <v>1.04</v>
      </c>
      <c r="E200" s="414">
        <f>IFERROR($D200*E$238/100, 0)</f>
        <v>7.9151480101988562E-4</v>
      </c>
      <c r="F200" s="154">
        <f t="shared" si="104"/>
        <v>0.17907224923767451</v>
      </c>
      <c r="G200" s="155">
        <f>IFERROR($D200*G$238/100, 0)</f>
        <v>0.13225121859477654</v>
      </c>
      <c r="H200" s="156">
        <f>IFERROR($D200*H$238/100, 0)</f>
        <v>2.1176544540501066E-2</v>
      </c>
      <c r="I200" s="157">
        <f>IFERROR($D200*I$238/100, 0)</f>
        <v>2.5644486102396901E-2</v>
      </c>
      <c r="J200" s="154">
        <f t="shared" si="100"/>
        <v>0.67394851869595285</v>
      </c>
      <c r="K200" s="155">
        <f t="shared" ref="K200:P200" si="112">IFERROR($D200*K$238/100, 0)</f>
        <v>0.28269021590689636</v>
      </c>
      <c r="L200" s="156">
        <f t="shared" si="112"/>
        <v>0.34195219756001366</v>
      </c>
      <c r="M200" s="156">
        <f t="shared" si="112"/>
        <v>4.9306105229042864E-2</v>
      </c>
      <c r="N200" s="152">
        <f t="shared" si="112"/>
        <v>0</v>
      </c>
      <c r="O200" s="153">
        <f t="shared" si="112"/>
        <v>0</v>
      </c>
      <c r="P200" s="154">
        <f t="shared" si="112"/>
        <v>0</v>
      </c>
      <c r="Q200" s="325"/>
      <c r="R200" s="326"/>
    </row>
    <row r="201" spans="2:18" s="4" customFormat="1" x14ac:dyDescent="0.25">
      <c r="B201" s="150" t="s">
        <v>179</v>
      </c>
      <c r="C201" s="204" t="s">
        <v>334</v>
      </c>
      <c r="D201" s="338">
        <f>SUM(D202:D205)</f>
        <v>241.41</v>
      </c>
      <c r="E201" s="414">
        <f>SUM(E202:E205)</f>
        <v>30.778162227549096</v>
      </c>
      <c r="F201" s="154">
        <f t="shared" si="104"/>
        <v>79.197717346371832</v>
      </c>
      <c r="G201" s="155">
        <f>SUM(G202:G205)</f>
        <v>13.847079034178401</v>
      </c>
      <c r="H201" s="156">
        <f>SUM(H202:H205)</f>
        <v>5.1820263076849811</v>
      </c>
      <c r="I201" s="157">
        <f>SUM(I202:I205)</f>
        <v>60.168612004508446</v>
      </c>
      <c r="J201" s="154">
        <f t="shared" si="100"/>
        <v>121.46750604035367</v>
      </c>
      <c r="K201" s="155">
        <f t="shared" ref="K201:P201" si="113">SUM(K202:K205)</f>
        <v>56.826308764465892</v>
      </c>
      <c r="L201" s="156">
        <f t="shared" si="113"/>
        <v>55.184844931976563</v>
      </c>
      <c r="M201" s="156">
        <f t="shared" si="113"/>
        <v>9.4563523439112274</v>
      </c>
      <c r="N201" s="152">
        <f t="shared" si="113"/>
        <v>3.9600749289603607</v>
      </c>
      <c r="O201" s="153">
        <f t="shared" si="113"/>
        <v>0</v>
      </c>
      <c r="P201" s="154">
        <f t="shared" si="113"/>
        <v>6.0065394567650383</v>
      </c>
      <c r="Q201" s="325"/>
      <c r="R201" s="326"/>
    </row>
    <row r="202" spans="2:18" s="1" customFormat="1" x14ac:dyDescent="0.25">
      <c r="B202" s="259" t="s">
        <v>509</v>
      </c>
      <c r="C202" s="260" t="s">
        <v>336</v>
      </c>
      <c r="D202" s="335">
        <v>236.14</v>
      </c>
      <c r="E202" s="415">
        <f>IFERROR($D202*E$237/100, 0)</f>
        <v>30.106272434503307</v>
      </c>
      <c r="F202" s="206">
        <f t="shared" si="104"/>
        <v>77.468824713857103</v>
      </c>
      <c r="G202" s="210">
        <f t="shared" ref="G202:I205" si="114">IFERROR($D202*G$237/100, 0)</f>
        <v>13.544796168886492</v>
      </c>
      <c r="H202" s="211">
        <f t="shared" si="114"/>
        <v>5.0689022505146077</v>
      </c>
      <c r="I202" s="212">
        <f t="shared" si="114"/>
        <v>58.855126294456007</v>
      </c>
      <c r="J202" s="206">
        <f t="shared" si="100"/>
        <v>118.81586047126929</v>
      </c>
      <c r="K202" s="210">
        <f t="shared" ref="K202:P205" si="115">IFERROR($D202*K$237/100, 0)</f>
        <v>55.585785806888595</v>
      </c>
      <c r="L202" s="211">
        <f t="shared" si="115"/>
        <v>53.980155263812378</v>
      </c>
      <c r="M202" s="211">
        <f t="shared" si="115"/>
        <v>9.2499194005683165</v>
      </c>
      <c r="N202" s="208">
        <f t="shared" si="115"/>
        <v>3.8736261701035568</v>
      </c>
      <c r="O202" s="209">
        <f t="shared" si="115"/>
        <v>0</v>
      </c>
      <c r="P202" s="206">
        <f t="shared" si="115"/>
        <v>5.8754162102667502</v>
      </c>
      <c r="Q202" s="336"/>
      <c r="R202" s="337"/>
    </row>
    <row r="203" spans="2:18" s="1" customFormat="1" x14ac:dyDescent="0.25">
      <c r="B203" s="259" t="s">
        <v>510</v>
      </c>
      <c r="C203" s="260" t="s">
        <v>338</v>
      </c>
      <c r="D203" s="335">
        <v>4.5</v>
      </c>
      <c r="E203" s="415">
        <f>IFERROR($D203*E$237/100, 0)</f>
        <v>0.57371993713587233</v>
      </c>
      <c r="F203" s="206">
        <f t="shared" si="104"/>
        <v>1.4762840315590624</v>
      </c>
      <c r="G203" s="210">
        <f t="shared" si="114"/>
        <v>0.25811629863635649</v>
      </c>
      <c r="H203" s="211">
        <f t="shared" si="114"/>
        <v>9.6595494737510529E-2</v>
      </c>
      <c r="I203" s="212">
        <f t="shared" si="114"/>
        <v>1.1215722381851954</v>
      </c>
      <c r="J203" s="206">
        <f t="shared" si="100"/>
        <v>2.2642134840379087</v>
      </c>
      <c r="K203" s="210">
        <f t="shared" si="115"/>
        <v>1.0592700776276731</v>
      </c>
      <c r="L203" s="211">
        <f t="shared" si="115"/>
        <v>1.0286723921705585</v>
      </c>
      <c r="M203" s="211">
        <f t="shared" si="115"/>
        <v>0.17627101423967739</v>
      </c>
      <c r="N203" s="208">
        <f t="shared" si="115"/>
        <v>7.3817725779054821E-2</v>
      </c>
      <c r="O203" s="209">
        <f t="shared" si="115"/>
        <v>0</v>
      </c>
      <c r="P203" s="206">
        <f t="shared" si="115"/>
        <v>0.11196482148810187</v>
      </c>
      <c r="Q203" s="336"/>
      <c r="R203" s="337"/>
    </row>
    <row r="204" spans="2:18" s="1" customFormat="1" x14ac:dyDescent="0.25">
      <c r="B204" s="259" t="s">
        <v>511</v>
      </c>
      <c r="C204" s="260" t="s">
        <v>340</v>
      </c>
      <c r="D204" s="335">
        <v>0.24</v>
      </c>
      <c r="E204" s="415">
        <f>IFERROR($D204*E$237/100, 0)</f>
        <v>3.059839664724652E-2</v>
      </c>
      <c r="F204" s="206">
        <f t="shared" si="104"/>
        <v>7.8735148349816653E-2</v>
      </c>
      <c r="G204" s="210">
        <f t="shared" si="114"/>
        <v>1.3766202593939013E-2</v>
      </c>
      <c r="H204" s="211">
        <f t="shared" si="114"/>
        <v>5.1517597193338933E-3</v>
      </c>
      <c r="I204" s="212">
        <f t="shared" si="114"/>
        <v>5.9817186036543755E-2</v>
      </c>
      <c r="J204" s="206">
        <f t="shared" si="100"/>
        <v>0.12075805248202182</v>
      </c>
      <c r="K204" s="210">
        <f t="shared" si="115"/>
        <v>5.6494404140142562E-2</v>
      </c>
      <c r="L204" s="211">
        <f t="shared" si="115"/>
        <v>5.4862527582429793E-2</v>
      </c>
      <c r="M204" s="211">
        <f t="shared" si="115"/>
        <v>9.4011207594494623E-3</v>
      </c>
      <c r="N204" s="208">
        <f t="shared" si="115"/>
        <v>3.936945374882924E-3</v>
      </c>
      <c r="O204" s="209">
        <f t="shared" si="115"/>
        <v>0</v>
      </c>
      <c r="P204" s="206">
        <f t="shared" si="115"/>
        <v>5.9714571460320999E-3</v>
      </c>
      <c r="Q204" s="336"/>
      <c r="R204" s="337"/>
    </row>
    <row r="205" spans="2:18" s="1" customFormat="1" ht="15.75" thickBot="1" x14ac:dyDescent="0.3">
      <c r="B205" s="259" t="s">
        <v>512</v>
      </c>
      <c r="C205" s="260" t="s">
        <v>342</v>
      </c>
      <c r="D205" s="335">
        <v>0.53</v>
      </c>
      <c r="E205" s="415">
        <f>IFERROR($D205*E$237/100, 0)</f>
        <v>6.7571459262669414E-2</v>
      </c>
      <c r="F205" s="206">
        <f t="shared" si="104"/>
        <v>0.17387345260584514</v>
      </c>
      <c r="G205" s="210">
        <f t="shared" si="114"/>
        <v>3.0400364061615323E-2</v>
      </c>
      <c r="H205" s="211">
        <f t="shared" si="114"/>
        <v>1.1376802713529017E-2</v>
      </c>
      <c r="I205" s="212">
        <f t="shared" si="114"/>
        <v>0.13209628583070079</v>
      </c>
      <c r="J205" s="206">
        <f t="shared" si="100"/>
        <v>0.26667403256446487</v>
      </c>
      <c r="K205" s="210">
        <f t="shared" si="115"/>
        <v>0.1247584758094815</v>
      </c>
      <c r="L205" s="211">
        <f t="shared" si="115"/>
        <v>0.12115474841119912</v>
      </c>
      <c r="M205" s="211">
        <f t="shared" si="115"/>
        <v>2.0760808343784229E-2</v>
      </c>
      <c r="N205" s="208">
        <f t="shared" si="115"/>
        <v>8.6940877028664574E-3</v>
      </c>
      <c r="O205" s="209">
        <f t="shared" si="115"/>
        <v>0</v>
      </c>
      <c r="P205" s="206">
        <f t="shared" si="115"/>
        <v>1.3186967864154219E-2</v>
      </c>
      <c r="Q205" s="336"/>
      <c r="R205" s="337"/>
    </row>
    <row r="206" spans="2:18" s="4" customFormat="1" x14ac:dyDescent="0.25">
      <c r="B206" s="150" t="s">
        <v>181</v>
      </c>
      <c r="C206" s="204" t="s">
        <v>344</v>
      </c>
      <c r="D206" s="338">
        <f>SUM(D207:D209)</f>
        <v>1.48</v>
      </c>
      <c r="E206" s="414">
        <f>SUM(E207:E209)</f>
        <v>0.18869011265802021</v>
      </c>
      <c r="F206" s="154">
        <f t="shared" si="104"/>
        <v>0.48553341482386947</v>
      </c>
      <c r="G206" s="155">
        <f>SUM(G207:G209)</f>
        <v>8.4891582662623907E-2</v>
      </c>
      <c r="H206" s="156">
        <f>SUM(H207:H209)</f>
        <v>3.1769184935892349E-2</v>
      </c>
      <c r="I206" s="157">
        <f>SUM(I207:I209)</f>
        <v>0.36887264722535318</v>
      </c>
      <c r="J206" s="154">
        <f t="shared" si="100"/>
        <v>0.74467465697246771</v>
      </c>
      <c r="K206" s="155">
        <f t="shared" ref="K206:P206" si="116">SUM(K207:K209)</f>
        <v>0.34838215886421248</v>
      </c>
      <c r="L206" s="156">
        <f t="shared" si="116"/>
        <v>0.33831892009165032</v>
      </c>
      <c r="M206" s="156">
        <f t="shared" si="116"/>
        <v>5.7973578016605014E-2</v>
      </c>
      <c r="N206" s="152">
        <f t="shared" si="116"/>
        <v>2.4277829811778031E-2</v>
      </c>
      <c r="O206" s="153">
        <f t="shared" si="116"/>
        <v>0</v>
      </c>
      <c r="P206" s="154">
        <f t="shared" si="116"/>
        <v>3.6823985733864611E-2</v>
      </c>
      <c r="Q206" s="325"/>
      <c r="R206" s="326"/>
    </row>
    <row r="207" spans="2:18" s="1" customFormat="1" x14ac:dyDescent="0.25">
      <c r="B207" s="259" t="s">
        <v>513</v>
      </c>
      <c r="C207" s="260" t="s">
        <v>350</v>
      </c>
      <c r="D207" s="335">
        <v>1.46</v>
      </c>
      <c r="E207" s="415">
        <f>IFERROR($D207*E$237/100, 0)</f>
        <v>0.18614024627074968</v>
      </c>
      <c r="F207" s="206">
        <f t="shared" si="104"/>
        <v>0.47897215246138469</v>
      </c>
      <c r="G207" s="210">
        <f t="shared" ref="G207:I209" si="117">IFERROR($D207*G$237/100, 0)</f>
        <v>8.3744399113128989E-2</v>
      </c>
      <c r="H207" s="211">
        <f t="shared" si="117"/>
        <v>3.1339871625947854E-2</v>
      </c>
      <c r="I207" s="212">
        <f t="shared" si="117"/>
        <v>0.36388788172230785</v>
      </c>
      <c r="J207" s="206">
        <f t="shared" si="100"/>
        <v>0.73461148593229941</v>
      </c>
      <c r="K207" s="210">
        <f t="shared" ref="K207:P209" si="118">IFERROR($D207*K$237/100, 0)</f>
        <v>0.34367429185253395</v>
      </c>
      <c r="L207" s="211">
        <f t="shared" si="118"/>
        <v>0.33374704279311451</v>
      </c>
      <c r="M207" s="211">
        <f t="shared" si="118"/>
        <v>5.7190151286650892E-2</v>
      </c>
      <c r="N207" s="208">
        <f t="shared" si="118"/>
        <v>2.3949751030537786E-2</v>
      </c>
      <c r="O207" s="209">
        <f t="shared" si="118"/>
        <v>0</v>
      </c>
      <c r="P207" s="206">
        <f t="shared" si="118"/>
        <v>3.6326364305028606E-2</v>
      </c>
      <c r="Q207" s="336"/>
      <c r="R207" s="337"/>
    </row>
    <row r="208" spans="2:18" s="1" customFormat="1" x14ac:dyDescent="0.25">
      <c r="B208" s="262" t="s">
        <v>514</v>
      </c>
      <c r="C208" s="260" t="s">
        <v>352</v>
      </c>
      <c r="D208" s="342">
        <v>0</v>
      </c>
      <c r="E208" s="415">
        <f>IFERROR($D208*E$237/100, 0)</f>
        <v>0</v>
      </c>
      <c r="F208" s="206">
        <f t="shared" si="104"/>
        <v>0</v>
      </c>
      <c r="G208" s="210">
        <f t="shared" si="117"/>
        <v>0</v>
      </c>
      <c r="H208" s="211">
        <f t="shared" si="117"/>
        <v>0</v>
      </c>
      <c r="I208" s="212">
        <f t="shared" si="117"/>
        <v>0</v>
      </c>
      <c r="J208" s="206">
        <f t="shared" si="100"/>
        <v>0</v>
      </c>
      <c r="K208" s="210">
        <f t="shared" si="118"/>
        <v>0</v>
      </c>
      <c r="L208" s="211">
        <f t="shared" si="118"/>
        <v>0</v>
      </c>
      <c r="M208" s="211">
        <f t="shared" si="118"/>
        <v>0</v>
      </c>
      <c r="N208" s="208">
        <f t="shared" si="118"/>
        <v>0</v>
      </c>
      <c r="O208" s="209">
        <f t="shared" si="118"/>
        <v>0</v>
      </c>
      <c r="P208" s="206">
        <f t="shared" si="118"/>
        <v>0</v>
      </c>
      <c r="Q208" s="336"/>
      <c r="R208" s="337"/>
    </row>
    <row r="209" spans="2:18" s="1" customFormat="1" ht="15.75" thickBot="1" x14ac:dyDescent="0.3">
      <c r="B209" s="262" t="s">
        <v>515</v>
      </c>
      <c r="C209" s="250" t="s">
        <v>354</v>
      </c>
      <c r="D209" s="335">
        <v>0.02</v>
      </c>
      <c r="E209" s="415">
        <f>IFERROR($D209*E$237/100, 0)</f>
        <v>2.5498663872705433E-3</v>
      </c>
      <c r="F209" s="206">
        <f t="shared" si="104"/>
        <v>6.5612623624847211E-3</v>
      </c>
      <c r="G209" s="210">
        <f t="shared" si="117"/>
        <v>1.1471835494949176E-3</v>
      </c>
      <c r="H209" s="211">
        <f t="shared" si="117"/>
        <v>4.2931330994449115E-4</v>
      </c>
      <c r="I209" s="212">
        <f t="shared" si="117"/>
        <v>4.9847655030453124E-3</v>
      </c>
      <c r="J209" s="206">
        <f t="shared" si="100"/>
        <v>1.0063171040168486E-2</v>
      </c>
      <c r="K209" s="210">
        <f t="shared" si="118"/>
        <v>4.7078670116785471E-3</v>
      </c>
      <c r="L209" s="211">
        <f t="shared" si="118"/>
        <v>4.5718772985358161E-3</v>
      </c>
      <c r="M209" s="211">
        <f t="shared" si="118"/>
        <v>7.8342672995412182E-4</v>
      </c>
      <c r="N209" s="208">
        <f t="shared" si="118"/>
        <v>3.2807878124024365E-4</v>
      </c>
      <c r="O209" s="209">
        <f t="shared" si="118"/>
        <v>0</v>
      </c>
      <c r="P209" s="206">
        <f t="shared" si="118"/>
        <v>4.9762142883600833E-4</v>
      </c>
      <c r="Q209" s="336"/>
      <c r="R209" s="337"/>
    </row>
    <row r="210" spans="2:18" s="4" customFormat="1" x14ac:dyDescent="0.25">
      <c r="B210" s="150" t="s">
        <v>183</v>
      </c>
      <c r="C210" s="204" t="s">
        <v>356</v>
      </c>
      <c r="D210" s="338">
        <f>SUM(D211:D212)</f>
        <v>2</v>
      </c>
      <c r="E210" s="414">
        <f>SUM(E211:E212)</f>
        <v>0.25498663872705435</v>
      </c>
      <c r="F210" s="154">
        <f t="shared" si="104"/>
        <v>0.65612623624847211</v>
      </c>
      <c r="G210" s="155">
        <f>SUM(G211:G212)</f>
        <v>0.11471835494949177</v>
      </c>
      <c r="H210" s="156">
        <f>SUM(H211:H212)</f>
        <v>4.2931330994449117E-2</v>
      </c>
      <c r="I210" s="157">
        <f>SUM(I211:I212)</f>
        <v>0.49847655030453125</v>
      </c>
      <c r="J210" s="154">
        <f t="shared" si="100"/>
        <v>1.0063171040168484</v>
      </c>
      <c r="K210" s="155">
        <f t="shared" ref="K210:P210" si="119">SUM(K211:K212)</f>
        <v>0.47078670116785465</v>
      </c>
      <c r="L210" s="156">
        <f t="shared" si="119"/>
        <v>0.45718772985358158</v>
      </c>
      <c r="M210" s="156">
        <f t="shared" si="119"/>
        <v>7.8342672995412185E-2</v>
      </c>
      <c r="N210" s="152">
        <f t="shared" si="119"/>
        <v>3.2807878124024366E-2</v>
      </c>
      <c r="O210" s="153">
        <f t="shared" si="119"/>
        <v>0</v>
      </c>
      <c r="P210" s="154">
        <f t="shared" si="119"/>
        <v>4.9762142883600834E-2</v>
      </c>
      <c r="Q210" s="325"/>
      <c r="R210" s="326"/>
    </row>
    <row r="211" spans="2:18" s="1" customFormat="1" x14ac:dyDescent="0.25">
      <c r="B211" s="259" t="s">
        <v>516</v>
      </c>
      <c r="C211" s="260" t="s">
        <v>358</v>
      </c>
      <c r="D211" s="335">
        <v>2</v>
      </c>
      <c r="E211" s="415">
        <f>IFERROR($D211*E$237/100, 0)</f>
        <v>0.25498663872705435</v>
      </c>
      <c r="F211" s="206">
        <f t="shared" si="104"/>
        <v>0.65612623624847211</v>
      </c>
      <c r="G211" s="210">
        <f t="shared" ref="G211:I212" si="120">IFERROR($D211*G$237/100, 0)</f>
        <v>0.11471835494949177</v>
      </c>
      <c r="H211" s="211">
        <f t="shared" si="120"/>
        <v>4.2931330994449117E-2</v>
      </c>
      <c r="I211" s="212">
        <f t="shared" si="120"/>
        <v>0.49847655030453125</v>
      </c>
      <c r="J211" s="206">
        <f t="shared" si="100"/>
        <v>1.0063171040168484</v>
      </c>
      <c r="K211" s="210">
        <f t="shared" ref="K211:P212" si="121">IFERROR($D211*K$237/100, 0)</f>
        <v>0.47078670116785465</v>
      </c>
      <c r="L211" s="211">
        <f t="shared" si="121"/>
        <v>0.45718772985358158</v>
      </c>
      <c r="M211" s="211">
        <f t="shared" si="121"/>
        <v>7.8342672995412185E-2</v>
      </c>
      <c r="N211" s="208">
        <f t="shared" si="121"/>
        <v>3.2807878124024366E-2</v>
      </c>
      <c r="O211" s="209">
        <f t="shared" si="121"/>
        <v>0</v>
      </c>
      <c r="P211" s="206">
        <f t="shared" si="121"/>
        <v>4.9762142883600834E-2</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41.12</v>
      </c>
      <c r="E213" s="414">
        <f>SUM(E214:E228)</f>
        <v>5.2425252922282368</v>
      </c>
      <c r="F213" s="154">
        <f t="shared" si="104"/>
        <v>13.489955417268588</v>
      </c>
      <c r="G213" s="155">
        <f>SUM(G214:G228)</f>
        <v>2.3586093777615513</v>
      </c>
      <c r="H213" s="156">
        <f>SUM(H214:H228)</f>
        <v>0.88266816524587399</v>
      </c>
      <c r="I213" s="157">
        <f>SUM(I214:I228)</f>
        <v>10.248677874261162</v>
      </c>
      <c r="J213" s="154">
        <f t="shared" si="100"/>
        <v>20.689879658586403</v>
      </c>
      <c r="K213" s="155">
        <f t="shared" ref="K213:P213" si="122">SUM(K214:K228)</f>
        <v>9.6793745760110923</v>
      </c>
      <c r="L213" s="156">
        <f t="shared" si="122"/>
        <v>9.3997797257896369</v>
      </c>
      <c r="M213" s="156">
        <f t="shared" si="122"/>
        <v>1.6107253567856743</v>
      </c>
      <c r="N213" s="152">
        <f t="shared" si="122"/>
        <v>0.67452997422994088</v>
      </c>
      <c r="O213" s="153">
        <f t="shared" si="122"/>
        <v>0</v>
      </c>
      <c r="P213" s="154">
        <f t="shared" si="122"/>
        <v>1.0231096576868333</v>
      </c>
      <c r="Q213" s="325"/>
      <c r="R213" s="326"/>
    </row>
    <row r="214" spans="2:18" s="1" customFormat="1" x14ac:dyDescent="0.25">
      <c r="B214" s="259" t="s">
        <v>519</v>
      </c>
      <c r="C214" s="260" t="s">
        <v>364</v>
      </c>
      <c r="D214" s="335">
        <v>0.98</v>
      </c>
      <c r="E214" s="415">
        <f t="shared" ref="E214:E229" si="123">IFERROR($D214*E$237/100, 0)</f>
        <v>0.12494345297625664</v>
      </c>
      <c r="F214" s="206">
        <f t="shared" si="104"/>
        <v>0.32150185576175139</v>
      </c>
      <c r="G214" s="210">
        <f t="shared" ref="G214:I229" si="124">IFERROR($D214*G$237/100, 0)</f>
        <v>5.6211993925250968E-2</v>
      </c>
      <c r="H214" s="211">
        <f t="shared" si="124"/>
        <v>2.1036352187280071E-2</v>
      </c>
      <c r="I214" s="212">
        <f t="shared" si="124"/>
        <v>0.24425350964922032</v>
      </c>
      <c r="J214" s="206">
        <f t="shared" si="100"/>
        <v>0.49309538096825567</v>
      </c>
      <c r="K214" s="210">
        <f t="shared" ref="K214:P223" si="125">IFERROR($D214*K$237/100, 0)</f>
        <v>0.23068548357224877</v>
      </c>
      <c r="L214" s="211">
        <f t="shared" si="125"/>
        <v>0.22402198762825495</v>
      </c>
      <c r="M214" s="211">
        <f t="shared" si="125"/>
        <v>3.8387909767751964E-2</v>
      </c>
      <c r="N214" s="208">
        <f t="shared" si="125"/>
        <v>1.6075860280771938E-2</v>
      </c>
      <c r="O214" s="209">
        <f t="shared" si="125"/>
        <v>0</v>
      </c>
      <c r="P214" s="206">
        <f t="shared" si="125"/>
        <v>2.4383450012964408E-2</v>
      </c>
      <c r="Q214" s="336"/>
      <c r="R214" s="337"/>
    </row>
    <row r="215" spans="2:18" s="1" customFormat="1" x14ac:dyDescent="0.25">
      <c r="B215" s="259" t="s">
        <v>520</v>
      </c>
      <c r="C215" s="260" t="s">
        <v>366</v>
      </c>
      <c r="D215" s="335">
        <v>0.35</v>
      </c>
      <c r="E215" s="415">
        <f t="shared" si="123"/>
        <v>4.4622661777234507E-2</v>
      </c>
      <c r="F215" s="206">
        <f t="shared" si="104"/>
        <v>0.1148220913434826</v>
      </c>
      <c r="G215" s="210">
        <f t="shared" si="124"/>
        <v>2.0075712116161059E-2</v>
      </c>
      <c r="H215" s="211">
        <f t="shared" si="124"/>
        <v>7.5129829240285946E-3</v>
      </c>
      <c r="I215" s="212">
        <f t="shared" si="124"/>
        <v>8.7233396303292951E-2</v>
      </c>
      <c r="J215" s="206">
        <f t="shared" si="100"/>
        <v>0.17610549320294849</v>
      </c>
      <c r="K215" s="210">
        <f t="shared" si="125"/>
        <v>8.2387672704374568E-2</v>
      </c>
      <c r="L215" s="211">
        <f t="shared" si="125"/>
        <v>8.0007852724376771E-2</v>
      </c>
      <c r="M215" s="211">
        <f t="shared" si="125"/>
        <v>1.3709967774197132E-2</v>
      </c>
      <c r="N215" s="208">
        <f t="shared" si="125"/>
        <v>5.7413786717042635E-3</v>
      </c>
      <c r="O215" s="209">
        <f t="shared" si="125"/>
        <v>0</v>
      </c>
      <c r="P215" s="206">
        <f t="shared" si="125"/>
        <v>8.7083750046301443E-3</v>
      </c>
      <c r="Q215" s="336"/>
      <c r="R215" s="337"/>
    </row>
    <row r="216" spans="2:18" s="1" customFormat="1" x14ac:dyDescent="0.25">
      <c r="B216" s="259" t="s">
        <v>521</v>
      </c>
      <c r="C216" s="260" t="s">
        <v>368</v>
      </c>
      <c r="D216" s="335">
        <v>8.65</v>
      </c>
      <c r="E216" s="415">
        <f t="shared" si="123"/>
        <v>1.1028172124945101</v>
      </c>
      <c r="F216" s="206">
        <f t="shared" si="104"/>
        <v>2.8377459717746425</v>
      </c>
      <c r="G216" s="210">
        <f t="shared" si="124"/>
        <v>0.49615688515655193</v>
      </c>
      <c r="H216" s="211">
        <f t="shared" si="124"/>
        <v>0.18567800655099245</v>
      </c>
      <c r="I216" s="212">
        <f t="shared" si="124"/>
        <v>2.155911080067098</v>
      </c>
      <c r="J216" s="206">
        <f t="shared" si="100"/>
        <v>4.3523214748728689</v>
      </c>
      <c r="K216" s="210">
        <f t="shared" si="125"/>
        <v>2.0361524825509716</v>
      </c>
      <c r="L216" s="211">
        <f t="shared" si="125"/>
        <v>1.9773369316167404</v>
      </c>
      <c r="M216" s="211">
        <f t="shared" si="125"/>
        <v>0.3388320607051577</v>
      </c>
      <c r="N216" s="208">
        <f t="shared" si="125"/>
        <v>0.14189407288640538</v>
      </c>
      <c r="O216" s="209">
        <f t="shared" si="125"/>
        <v>0</v>
      </c>
      <c r="P216" s="206">
        <f t="shared" si="125"/>
        <v>0.21522126797157359</v>
      </c>
      <c r="Q216" s="336"/>
      <c r="R216" s="337"/>
    </row>
    <row r="217" spans="2:18" s="1" customFormat="1" x14ac:dyDescent="0.25">
      <c r="B217" s="259" t="s">
        <v>522</v>
      </c>
      <c r="C217" s="260" t="s">
        <v>370</v>
      </c>
      <c r="D217" s="335">
        <v>5.32</v>
      </c>
      <c r="E217" s="415">
        <f t="shared" si="123"/>
        <v>0.6782644590139647</v>
      </c>
      <c r="F217" s="206">
        <f t="shared" si="104"/>
        <v>1.7452957884209359</v>
      </c>
      <c r="G217" s="210">
        <f t="shared" si="124"/>
        <v>0.30515082416564815</v>
      </c>
      <c r="H217" s="211">
        <f t="shared" si="124"/>
        <v>0.11419734044523466</v>
      </c>
      <c r="I217" s="212">
        <f t="shared" si="124"/>
        <v>1.3259476238100532</v>
      </c>
      <c r="J217" s="206">
        <f t="shared" si="100"/>
        <v>2.6768034966848169</v>
      </c>
      <c r="K217" s="210">
        <f t="shared" si="125"/>
        <v>1.2522926251064934</v>
      </c>
      <c r="L217" s="211">
        <f t="shared" si="125"/>
        <v>1.216119361410527</v>
      </c>
      <c r="M217" s="211">
        <f t="shared" si="125"/>
        <v>0.20839151016779642</v>
      </c>
      <c r="N217" s="208">
        <f t="shared" si="125"/>
        <v>8.7268955809904819E-2</v>
      </c>
      <c r="O217" s="209">
        <f t="shared" si="125"/>
        <v>0</v>
      </c>
      <c r="P217" s="206">
        <f t="shared" si="125"/>
        <v>0.13236730007037822</v>
      </c>
      <c r="Q217" s="336"/>
      <c r="R217" s="337"/>
    </row>
    <row r="218" spans="2:18" s="1" customFormat="1" x14ac:dyDescent="0.25">
      <c r="B218" s="259" t="s">
        <v>523</v>
      </c>
      <c r="C218" s="260" t="s">
        <v>372</v>
      </c>
      <c r="D218" s="335">
        <v>0.74</v>
      </c>
      <c r="E218" s="415">
        <f t="shared" si="123"/>
        <v>9.4345056329010107E-2</v>
      </c>
      <c r="F218" s="206">
        <f t="shared" si="104"/>
        <v>0.24276670741193468</v>
      </c>
      <c r="G218" s="210">
        <f t="shared" si="124"/>
        <v>4.2445791331311961E-2</v>
      </c>
      <c r="H218" s="211">
        <f t="shared" si="124"/>
        <v>1.5884592467946174E-2</v>
      </c>
      <c r="I218" s="212">
        <f t="shared" si="124"/>
        <v>0.18443632361267656</v>
      </c>
      <c r="J218" s="206">
        <f t="shared" si="100"/>
        <v>0.37233732848623391</v>
      </c>
      <c r="K218" s="210">
        <f t="shared" si="125"/>
        <v>0.17419107943210624</v>
      </c>
      <c r="L218" s="211">
        <f t="shared" si="125"/>
        <v>0.16915946004582519</v>
      </c>
      <c r="M218" s="211">
        <f t="shared" si="125"/>
        <v>2.8986789008302507E-2</v>
      </c>
      <c r="N218" s="208">
        <f t="shared" si="125"/>
        <v>1.2138914905889015E-2</v>
      </c>
      <c r="O218" s="209">
        <f t="shared" si="125"/>
        <v>0</v>
      </c>
      <c r="P218" s="206">
        <f t="shared" si="125"/>
        <v>1.8411992866932306E-2</v>
      </c>
      <c r="Q218" s="336"/>
      <c r="R218" s="337"/>
    </row>
    <row r="219" spans="2:18" s="1" customFormat="1" x14ac:dyDescent="0.25">
      <c r="B219" s="259" t="s">
        <v>524</v>
      </c>
      <c r="C219" s="260" t="s">
        <v>374</v>
      </c>
      <c r="D219" s="335">
        <v>2.31</v>
      </c>
      <c r="E219" s="415">
        <f t="shared" si="123"/>
        <v>0.29450956772974779</v>
      </c>
      <c r="F219" s="206">
        <f t="shared" si="104"/>
        <v>0.75782580286698531</v>
      </c>
      <c r="G219" s="210">
        <f t="shared" si="124"/>
        <v>0.132499699966663</v>
      </c>
      <c r="H219" s="211">
        <f t="shared" si="124"/>
        <v>4.9585687298588733E-2</v>
      </c>
      <c r="I219" s="212">
        <f t="shared" si="124"/>
        <v>0.57574041560173361</v>
      </c>
      <c r="J219" s="206">
        <f t="shared" si="100"/>
        <v>1.16229625513946</v>
      </c>
      <c r="K219" s="210">
        <f t="shared" si="125"/>
        <v>0.54375863984887218</v>
      </c>
      <c r="L219" s="211">
        <f t="shared" si="125"/>
        <v>0.52805182798088668</v>
      </c>
      <c r="M219" s="211">
        <f t="shared" si="125"/>
        <v>9.0485787309701068E-2</v>
      </c>
      <c r="N219" s="208">
        <f t="shared" si="125"/>
        <v>3.7893099233248143E-2</v>
      </c>
      <c r="O219" s="209">
        <f t="shared" si="125"/>
        <v>0</v>
      </c>
      <c r="P219" s="206">
        <f t="shared" si="125"/>
        <v>5.7475275030558964E-2</v>
      </c>
      <c r="Q219" s="336"/>
      <c r="R219" s="337"/>
    </row>
    <row r="220" spans="2:18" s="1" customFormat="1" x14ac:dyDescent="0.25">
      <c r="B220" s="259" t="s">
        <v>525</v>
      </c>
      <c r="C220" s="260" t="s">
        <v>376</v>
      </c>
      <c r="D220" s="335">
        <v>0</v>
      </c>
      <c r="E220" s="415">
        <f t="shared" si="123"/>
        <v>0</v>
      </c>
      <c r="F220" s="206">
        <f t="shared" si="104"/>
        <v>0</v>
      </c>
      <c r="G220" s="210">
        <f t="shared" si="124"/>
        <v>0</v>
      </c>
      <c r="H220" s="211">
        <f t="shared" si="124"/>
        <v>0</v>
      </c>
      <c r="I220" s="212">
        <f t="shared" si="124"/>
        <v>0</v>
      </c>
      <c r="J220" s="206">
        <f t="shared" si="100"/>
        <v>0</v>
      </c>
      <c r="K220" s="210">
        <f t="shared" si="125"/>
        <v>0</v>
      </c>
      <c r="L220" s="211">
        <f t="shared" si="125"/>
        <v>0</v>
      </c>
      <c r="M220" s="211">
        <f t="shared" si="125"/>
        <v>0</v>
      </c>
      <c r="N220" s="208">
        <f t="shared" si="125"/>
        <v>0</v>
      </c>
      <c r="O220" s="209">
        <f t="shared" si="125"/>
        <v>0</v>
      </c>
      <c r="P220" s="206">
        <f t="shared" si="125"/>
        <v>0</v>
      </c>
      <c r="Q220" s="336"/>
      <c r="R220" s="337"/>
    </row>
    <row r="221" spans="2:18" s="1" customFormat="1" x14ac:dyDescent="0.25">
      <c r="B221" s="259" t="s">
        <v>526</v>
      </c>
      <c r="C221" s="260" t="s">
        <v>378</v>
      </c>
      <c r="D221" s="335">
        <v>0.22</v>
      </c>
      <c r="E221" s="415">
        <f t="shared" si="123"/>
        <v>2.804853025997598E-2</v>
      </c>
      <c r="F221" s="206">
        <f t="shared" si="104"/>
        <v>7.2173885987331932E-2</v>
      </c>
      <c r="G221" s="210">
        <f t="shared" si="124"/>
        <v>1.2619019044444095E-2</v>
      </c>
      <c r="H221" s="211">
        <f t="shared" si="124"/>
        <v>4.7224464093894034E-3</v>
      </c>
      <c r="I221" s="212">
        <f t="shared" si="124"/>
        <v>5.483242053349844E-2</v>
      </c>
      <c r="J221" s="206">
        <f t="shared" si="100"/>
        <v>0.11069488144185333</v>
      </c>
      <c r="K221" s="210">
        <f t="shared" si="125"/>
        <v>5.1786537128464011E-2</v>
      </c>
      <c r="L221" s="211">
        <f t="shared" si="125"/>
        <v>5.0290650283893977E-2</v>
      </c>
      <c r="M221" s="211">
        <f t="shared" si="125"/>
        <v>8.6176940294953389E-3</v>
      </c>
      <c r="N221" s="208">
        <f t="shared" si="125"/>
        <v>3.6088665936426802E-3</v>
      </c>
      <c r="O221" s="209">
        <f t="shared" si="125"/>
        <v>0</v>
      </c>
      <c r="P221" s="206">
        <f t="shared" si="125"/>
        <v>5.4738357171960914E-3</v>
      </c>
      <c r="Q221" s="336"/>
      <c r="R221" s="337"/>
    </row>
    <row r="222" spans="2:18" s="1" customFormat="1" x14ac:dyDescent="0.25">
      <c r="B222" s="259" t="s">
        <v>527</v>
      </c>
      <c r="C222" s="260" t="s">
        <v>380</v>
      </c>
      <c r="D222" s="335">
        <v>0</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v>
      </c>
      <c r="O222" s="209">
        <f t="shared" si="125"/>
        <v>0</v>
      </c>
      <c r="P222" s="206">
        <f t="shared" si="125"/>
        <v>0</v>
      </c>
      <c r="Q222" s="336"/>
      <c r="R222" s="337"/>
    </row>
    <row r="223" spans="2:18" s="1" customFormat="1" x14ac:dyDescent="0.25">
      <c r="B223" s="259" t="s">
        <v>528</v>
      </c>
      <c r="C223" s="260" t="s">
        <v>382</v>
      </c>
      <c r="D223" s="335">
        <v>2.5499999999999998</v>
      </c>
      <c r="E223" s="415">
        <f t="shared" si="123"/>
        <v>0.32510796437699424</v>
      </c>
      <c r="F223" s="206">
        <f t="shared" si="104"/>
        <v>0.83656095121680185</v>
      </c>
      <c r="G223" s="210">
        <f t="shared" si="124"/>
        <v>0.14626590256060201</v>
      </c>
      <c r="H223" s="211">
        <f t="shared" si="124"/>
        <v>5.4737447017922623E-2</v>
      </c>
      <c r="I223" s="212">
        <f t="shared" si="124"/>
        <v>0.63555760163827724</v>
      </c>
      <c r="J223" s="206">
        <f t="shared" si="100"/>
        <v>1.2830543076214818</v>
      </c>
      <c r="K223" s="210">
        <f t="shared" si="125"/>
        <v>0.60025304398901469</v>
      </c>
      <c r="L223" s="211">
        <f t="shared" si="125"/>
        <v>0.5829143555633165</v>
      </c>
      <c r="M223" s="211">
        <f t="shared" si="125"/>
        <v>9.9886908069150515E-2</v>
      </c>
      <c r="N223" s="208">
        <f t="shared" si="125"/>
        <v>4.1830044608131063E-2</v>
      </c>
      <c r="O223" s="209">
        <f t="shared" si="125"/>
        <v>0</v>
      </c>
      <c r="P223" s="206">
        <f t="shared" si="125"/>
        <v>6.3446732176591053E-2</v>
      </c>
      <c r="Q223" s="336"/>
      <c r="R223" s="337"/>
    </row>
    <row r="224" spans="2:18" s="1" customFormat="1" x14ac:dyDescent="0.25">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x14ac:dyDescent="0.25">
      <c r="B225" s="259" t="s">
        <v>530</v>
      </c>
      <c r="C225" s="260" t="s">
        <v>386</v>
      </c>
      <c r="D225" s="335">
        <v>10.46</v>
      </c>
      <c r="E225" s="415">
        <f t="shared" si="123"/>
        <v>1.3335801205424942</v>
      </c>
      <c r="F225" s="206">
        <f t="shared" si="104"/>
        <v>3.4315402155795098</v>
      </c>
      <c r="G225" s="210">
        <f t="shared" si="124"/>
        <v>0.59997699638584201</v>
      </c>
      <c r="H225" s="211">
        <f t="shared" si="124"/>
        <v>0.2245308611009689</v>
      </c>
      <c r="I225" s="212">
        <f t="shared" si="124"/>
        <v>2.6070323580926988</v>
      </c>
      <c r="J225" s="206">
        <f t="shared" si="100"/>
        <v>5.2630384540081172</v>
      </c>
      <c r="K225" s="210">
        <f t="shared" si="126"/>
        <v>2.46221444710788</v>
      </c>
      <c r="L225" s="211">
        <f t="shared" si="126"/>
        <v>2.3910918271342321</v>
      </c>
      <c r="M225" s="211">
        <f t="shared" si="126"/>
        <v>0.40973217976600573</v>
      </c>
      <c r="N225" s="208">
        <f t="shared" si="126"/>
        <v>0.17158520258864743</v>
      </c>
      <c r="O225" s="209">
        <f t="shared" si="126"/>
        <v>0</v>
      </c>
      <c r="P225" s="206">
        <f t="shared" si="126"/>
        <v>0.26025600728123238</v>
      </c>
      <c r="Q225" s="336"/>
      <c r="R225" s="337"/>
    </row>
    <row r="226" spans="2:18" s="1" customFormat="1" x14ac:dyDescent="0.25">
      <c r="B226" s="259" t="s">
        <v>531</v>
      </c>
      <c r="C226" s="260" t="s">
        <v>388</v>
      </c>
      <c r="D226" s="335">
        <v>0</v>
      </c>
      <c r="E226" s="415">
        <f t="shared" si="123"/>
        <v>0</v>
      </c>
      <c r="F226" s="206">
        <f t="shared" si="104"/>
        <v>0</v>
      </c>
      <c r="G226" s="210">
        <f t="shared" si="124"/>
        <v>0</v>
      </c>
      <c r="H226" s="211">
        <f t="shared" si="124"/>
        <v>0</v>
      </c>
      <c r="I226" s="212">
        <f t="shared" si="124"/>
        <v>0</v>
      </c>
      <c r="J226" s="206">
        <f t="shared" si="100"/>
        <v>0</v>
      </c>
      <c r="K226" s="210">
        <f t="shared" si="126"/>
        <v>0</v>
      </c>
      <c r="L226" s="211">
        <f t="shared" si="126"/>
        <v>0</v>
      </c>
      <c r="M226" s="211">
        <f t="shared" si="126"/>
        <v>0</v>
      </c>
      <c r="N226" s="208">
        <f t="shared" si="126"/>
        <v>0</v>
      </c>
      <c r="O226" s="209">
        <f t="shared" si="126"/>
        <v>0</v>
      </c>
      <c r="P226" s="206">
        <f t="shared" si="126"/>
        <v>0</v>
      </c>
      <c r="Q226" s="336"/>
      <c r="R226" s="337"/>
    </row>
    <row r="227" spans="2:18" s="1" customFormat="1" x14ac:dyDescent="0.25">
      <c r="B227" s="262" t="s">
        <v>532</v>
      </c>
      <c r="C227" s="250" t="s">
        <v>533</v>
      </c>
      <c r="D227" s="335">
        <v>0.18</v>
      </c>
      <c r="E227" s="415">
        <f t="shared" si="123"/>
        <v>2.2948797485434894E-2</v>
      </c>
      <c r="F227" s="206">
        <f t="shared" si="104"/>
        <v>5.9051361262362496E-2</v>
      </c>
      <c r="G227" s="210">
        <f t="shared" si="124"/>
        <v>1.0324651945454259E-2</v>
      </c>
      <c r="H227" s="211">
        <f t="shared" si="124"/>
        <v>3.8638197895004204E-3</v>
      </c>
      <c r="I227" s="212">
        <f t="shared" si="124"/>
        <v>4.4862889527407815E-2</v>
      </c>
      <c r="J227" s="206">
        <f t="shared" si="100"/>
        <v>9.0568539361516348E-2</v>
      </c>
      <c r="K227" s="210">
        <f t="shared" si="126"/>
        <v>4.2370803105106915E-2</v>
      </c>
      <c r="L227" s="211">
        <f t="shared" si="126"/>
        <v>4.1146895686822338E-2</v>
      </c>
      <c r="M227" s="211">
        <f t="shared" si="126"/>
        <v>7.0508405695870954E-3</v>
      </c>
      <c r="N227" s="208">
        <f t="shared" si="126"/>
        <v>2.952709031162193E-3</v>
      </c>
      <c r="O227" s="209">
        <f t="shared" si="126"/>
        <v>0</v>
      </c>
      <c r="P227" s="206">
        <f t="shared" si="126"/>
        <v>4.4785928595240752E-3</v>
      </c>
      <c r="Q227" s="336"/>
      <c r="R227" s="337"/>
    </row>
    <row r="228" spans="2:18" s="1" customFormat="1" ht="15.75" thickBot="1" x14ac:dyDescent="0.3">
      <c r="B228" s="282" t="s">
        <v>534</v>
      </c>
      <c r="C228" s="283" t="s">
        <v>390</v>
      </c>
      <c r="D228" s="335">
        <v>9.36</v>
      </c>
      <c r="E228" s="415">
        <f t="shared" si="123"/>
        <v>1.1933374692426144</v>
      </c>
      <c r="F228" s="206">
        <f t="shared" si="104"/>
        <v>3.0706707856428492</v>
      </c>
      <c r="G228" s="210">
        <f t="shared" si="124"/>
        <v>0.53688190116362144</v>
      </c>
      <c r="H228" s="211">
        <f t="shared" si="124"/>
        <v>0.20091862905402189</v>
      </c>
      <c r="I228" s="212">
        <f t="shared" si="124"/>
        <v>2.3328702554252061</v>
      </c>
      <c r="J228" s="206">
        <f t="shared" si="100"/>
        <v>4.7095640467988495</v>
      </c>
      <c r="K228" s="210">
        <f t="shared" si="126"/>
        <v>2.2032817614655595</v>
      </c>
      <c r="L228" s="211">
        <f t="shared" si="126"/>
        <v>2.1396385757147613</v>
      </c>
      <c r="M228" s="211">
        <f t="shared" si="126"/>
        <v>0.36664370961852893</v>
      </c>
      <c r="N228" s="208">
        <f t="shared" si="126"/>
        <v>0.15354086962043401</v>
      </c>
      <c r="O228" s="209">
        <f t="shared" si="126"/>
        <v>0</v>
      </c>
      <c r="P228" s="206">
        <f t="shared" si="126"/>
        <v>0.23288682869525185</v>
      </c>
      <c r="Q228" s="336"/>
      <c r="R228" s="337"/>
    </row>
    <row r="229" spans="2:18" s="4" customFormat="1" ht="15.75" thickBot="1" x14ac:dyDescent="0.3">
      <c r="B229" s="150" t="s">
        <v>187</v>
      </c>
      <c r="C229" s="204" t="s">
        <v>392</v>
      </c>
      <c r="D229" s="421">
        <v>0.33</v>
      </c>
      <c r="E229" s="414">
        <f t="shared" si="123"/>
        <v>4.2072795389963974E-2</v>
      </c>
      <c r="F229" s="154">
        <f t="shared" si="104"/>
        <v>0.10826082898099791</v>
      </c>
      <c r="G229" s="155">
        <f t="shared" si="124"/>
        <v>1.8928528566666145E-2</v>
      </c>
      <c r="H229" s="156">
        <f t="shared" si="124"/>
        <v>7.0836696140841047E-3</v>
      </c>
      <c r="I229" s="157">
        <f t="shared" si="124"/>
        <v>8.2248630800247663E-2</v>
      </c>
      <c r="J229" s="154">
        <f t="shared" si="100"/>
        <v>0.16604232216278</v>
      </c>
      <c r="K229" s="155">
        <f t="shared" si="126"/>
        <v>7.767980569269603E-2</v>
      </c>
      <c r="L229" s="156">
        <f t="shared" si="126"/>
        <v>7.5435975425840962E-2</v>
      </c>
      <c r="M229" s="156">
        <f t="shared" si="126"/>
        <v>1.292654104424301E-2</v>
      </c>
      <c r="N229" s="152">
        <f t="shared" si="126"/>
        <v>5.413299890464021E-3</v>
      </c>
      <c r="O229" s="422">
        <f t="shared" si="126"/>
        <v>0</v>
      </c>
      <c r="P229" s="154">
        <f t="shared" si="126"/>
        <v>8.2107535757941375E-3</v>
      </c>
      <c r="Q229" s="325"/>
      <c r="R229" s="326"/>
    </row>
    <row r="230" spans="2:18" s="4" customFormat="1" x14ac:dyDescent="0.25">
      <c r="B230" s="150" t="s">
        <v>189</v>
      </c>
      <c r="C230" s="204" t="s">
        <v>394</v>
      </c>
      <c r="D230" s="338">
        <f>SUM(D231:D235)</f>
        <v>14.959999999999999</v>
      </c>
      <c r="E230" s="414">
        <f>SUM(E231:E235)</f>
        <v>1.9073000576783663</v>
      </c>
      <c r="F230" s="154">
        <f t="shared" si="104"/>
        <v>4.9078242471385716</v>
      </c>
      <c r="G230" s="155">
        <f>SUM(G231:G235)</f>
        <v>0.85809329502219844</v>
      </c>
      <c r="H230" s="156">
        <f>SUM(H231:H235)</f>
        <v>0.32112635583847943</v>
      </c>
      <c r="I230" s="157">
        <f>SUM(I231:I235)</f>
        <v>3.728604596277894</v>
      </c>
      <c r="J230" s="154">
        <f t="shared" si="100"/>
        <v>7.5272519380460263</v>
      </c>
      <c r="K230" s="155">
        <f t="shared" ref="K230:P230" si="127">SUM(K231:K235)</f>
        <v>3.5214845247355528</v>
      </c>
      <c r="L230" s="156">
        <f t="shared" si="127"/>
        <v>3.4197642193047901</v>
      </c>
      <c r="M230" s="156">
        <f t="shared" si="127"/>
        <v>0.58600319400568313</v>
      </c>
      <c r="N230" s="152">
        <f t="shared" si="127"/>
        <v>0.24540292836770222</v>
      </c>
      <c r="O230" s="153">
        <f t="shared" si="127"/>
        <v>0</v>
      </c>
      <c r="P230" s="154">
        <f t="shared" si="127"/>
        <v>0.37222082876933421</v>
      </c>
      <c r="Q230" s="325"/>
      <c r="R230" s="326"/>
    </row>
    <row r="231" spans="2:18" s="1" customFormat="1" x14ac:dyDescent="0.25">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x14ac:dyDescent="0.25">
      <c r="B232" s="167" t="s">
        <v>536</v>
      </c>
      <c r="C232" s="357" t="s">
        <v>450</v>
      </c>
      <c r="D232" s="335">
        <v>1.78</v>
      </c>
      <c r="E232" s="415">
        <f>IFERROR($D232*E$237/100, 0)</f>
        <v>0.22693810846707838</v>
      </c>
      <c r="F232" s="206">
        <f t="shared" si="104"/>
        <v>0.58395235026114023</v>
      </c>
      <c r="G232" s="210">
        <f t="shared" si="128"/>
        <v>0.10209933590504768</v>
      </c>
      <c r="H232" s="211">
        <f t="shared" si="128"/>
        <v>3.8208884585059714E-2</v>
      </c>
      <c r="I232" s="212">
        <f t="shared" si="128"/>
        <v>0.44364412977103285</v>
      </c>
      <c r="J232" s="206">
        <f t="shared" si="100"/>
        <v>0.89562222257499524</v>
      </c>
      <c r="K232" s="210">
        <f t="shared" si="129"/>
        <v>0.41900016403939072</v>
      </c>
      <c r="L232" s="211">
        <f t="shared" si="129"/>
        <v>0.40689707956968763</v>
      </c>
      <c r="M232" s="211">
        <f t="shared" si="129"/>
        <v>6.972497896591684E-2</v>
      </c>
      <c r="N232" s="208">
        <f t="shared" si="129"/>
        <v>2.9199011530381687E-2</v>
      </c>
      <c r="O232" s="209">
        <f t="shared" si="129"/>
        <v>0</v>
      </c>
      <c r="P232" s="206">
        <f t="shared" si="129"/>
        <v>4.4288307166404736E-2</v>
      </c>
      <c r="Q232" s="336"/>
      <c r="R232" s="337"/>
    </row>
    <row r="233" spans="2:18" s="1" customFormat="1" x14ac:dyDescent="0.25">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x14ac:dyDescent="0.25">
      <c r="B234" s="259" t="s">
        <v>538</v>
      </c>
      <c r="C234" s="250" t="s">
        <v>402</v>
      </c>
      <c r="D234" s="342">
        <v>0</v>
      </c>
      <c r="E234" s="423">
        <f>IFERROR($D234*E$237/100, 0)</f>
        <v>0</v>
      </c>
      <c r="F234" s="216">
        <f t="shared" si="104"/>
        <v>0</v>
      </c>
      <c r="G234" s="217">
        <f t="shared" si="128"/>
        <v>0</v>
      </c>
      <c r="H234" s="218">
        <f t="shared" si="128"/>
        <v>0</v>
      </c>
      <c r="I234" s="219">
        <f t="shared" si="128"/>
        <v>0</v>
      </c>
      <c r="J234" s="216">
        <f t="shared" si="100"/>
        <v>0</v>
      </c>
      <c r="K234" s="217">
        <f t="shared" si="129"/>
        <v>0</v>
      </c>
      <c r="L234" s="218">
        <f t="shared" si="129"/>
        <v>0</v>
      </c>
      <c r="M234" s="218">
        <f t="shared" si="129"/>
        <v>0</v>
      </c>
      <c r="N234" s="214">
        <f t="shared" si="129"/>
        <v>0</v>
      </c>
      <c r="O234" s="215">
        <f t="shared" si="129"/>
        <v>0</v>
      </c>
      <c r="P234" s="216">
        <f t="shared" si="129"/>
        <v>0</v>
      </c>
      <c r="Q234" s="336"/>
      <c r="R234" s="337"/>
    </row>
    <row r="235" spans="2:18" s="1" customFormat="1" ht="15.75" thickBot="1" x14ac:dyDescent="0.3">
      <c r="B235" s="259" t="s">
        <v>539</v>
      </c>
      <c r="C235" s="250" t="s">
        <v>394</v>
      </c>
      <c r="D235" s="342">
        <v>13.18</v>
      </c>
      <c r="E235" s="423">
        <f>IFERROR($D235*E$237/100, 0)</f>
        <v>1.680361949211288</v>
      </c>
      <c r="F235" s="216">
        <f t="shared" si="104"/>
        <v>4.3238718968774315</v>
      </c>
      <c r="G235" s="217">
        <f t="shared" si="128"/>
        <v>0.75599395911715073</v>
      </c>
      <c r="H235" s="218">
        <f t="shared" si="128"/>
        <v>0.28291747125341971</v>
      </c>
      <c r="I235" s="219">
        <f t="shared" si="128"/>
        <v>3.284960466506861</v>
      </c>
      <c r="J235" s="216">
        <f t="shared" si="100"/>
        <v>6.6316297154710311</v>
      </c>
      <c r="K235" s="217">
        <f t="shared" si="129"/>
        <v>3.1024843606961623</v>
      </c>
      <c r="L235" s="218">
        <f t="shared" si="129"/>
        <v>3.0128671397351026</v>
      </c>
      <c r="M235" s="218">
        <f t="shared" si="129"/>
        <v>0.51627821503976623</v>
      </c>
      <c r="N235" s="214">
        <f t="shared" si="129"/>
        <v>0.21620391683732054</v>
      </c>
      <c r="O235" s="215">
        <f t="shared" si="129"/>
        <v>0</v>
      </c>
      <c r="P235" s="216">
        <f t="shared" si="129"/>
        <v>0.32793252160292946</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12.749331936352718</v>
      </c>
      <c r="F237" s="146">
        <f>SUM(G237:I237)</f>
        <v>32.806311812423608</v>
      </c>
      <c r="G237" s="147">
        <f>IFERROR((G25+G26)/($D$25+$D$26)*100, 0)</f>
        <v>5.7359177474745886</v>
      </c>
      <c r="H237" s="148">
        <f>IFERROR((H25+H26)/($D$25+$D$26)*100, 0)</f>
        <v>2.146566549722456</v>
      </c>
      <c r="I237" s="149">
        <f>IFERROR((I25+I26)/($D$25+$D$26)*100, 0)</f>
        <v>24.923827515226563</v>
      </c>
      <c r="J237" s="146">
        <f>SUM(K237:M237)</f>
        <v>50.315855200842428</v>
      </c>
      <c r="K237" s="147">
        <f t="shared" ref="K237:P237" si="130">IFERROR((K25+K26)/($D$25+$D$26)*100, 0)</f>
        <v>23.539335058392734</v>
      </c>
      <c r="L237" s="148">
        <f t="shared" si="130"/>
        <v>22.859386492679079</v>
      </c>
      <c r="M237" s="148">
        <f t="shared" si="130"/>
        <v>3.9171336497706091</v>
      </c>
      <c r="N237" s="144">
        <f t="shared" si="130"/>
        <v>1.6403939062012183</v>
      </c>
      <c r="O237" s="145">
        <f t="shared" si="130"/>
        <v>0</v>
      </c>
      <c r="P237" s="146">
        <f t="shared" si="130"/>
        <v>2.4881071441800415</v>
      </c>
      <c r="Q237" s="336"/>
      <c r="R237" s="337"/>
    </row>
    <row r="238" spans="2:18" s="1" customFormat="1" ht="33.75" customHeight="1" thickBot="1" x14ac:dyDescent="0.3">
      <c r="B238" s="284" t="s">
        <v>214</v>
      </c>
      <c r="C238" s="424" t="s">
        <v>542</v>
      </c>
      <c r="D238" s="425">
        <f>ROUND((E238+F238+J238+N238+O238+P238),1)</f>
        <v>82.1</v>
      </c>
      <c r="E238" s="426">
        <f>VAS075_F_Verslovienetui22ApskaitosVeikla</f>
        <v>7.6107192405758237E-2</v>
      </c>
      <c r="F238" s="427">
        <f>SUM(G238:I238)</f>
        <v>17.218485503622546</v>
      </c>
      <c r="G238" s="428">
        <f>VAS075_F_Verslovienetui231GeriamojoVandens</f>
        <v>12.71646332642082</v>
      </c>
      <c r="H238" s="429">
        <f>VAS075_F_Verslovienetui232GeriamojoVandens</f>
        <v>2.0362062058174102</v>
      </c>
      <c r="I238" s="430">
        <f>VAS075_F_Verslovienetui233GeriamojoVandens</f>
        <v>2.4658159713843171</v>
      </c>
      <c r="J238" s="427">
        <f>SUM(K238:M238)</f>
        <v>64.802742182303163</v>
      </c>
      <c r="K238" s="428">
        <f>VAS075_F_Verslovienetui241NuotekuSurinkimas</f>
        <v>27.181751529509263</v>
      </c>
      <c r="L238" s="429">
        <f>VAS075_F_Verslovienetui242NuotekuValymas</f>
        <v>32.880018996155158</v>
      </c>
      <c r="M238" s="429">
        <f>VAS075_F_Verslovienetui243NuotekuDumblo</f>
        <v>4.7409716566387372</v>
      </c>
      <c r="N238" s="425">
        <f>VAS075_F_Verslovienetui25PavirsiniuNuoteku</f>
        <v>0</v>
      </c>
      <c r="O238" s="426">
        <f>VAS075_F_Verslovienetui26KitosReguliuojamosios</f>
        <v>0</v>
      </c>
      <c r="P238" s="427">
        <f>VAS075_F_Verslovienetui27KitosVeiklos</f>
        <v>0</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9F/goEOnsQRqXCDz5N4oiE3D66cVDk/E4vCD/hAj02Se6gHdgwhyRyMGVzQx2GpeSCFSbBCR0/CTplsH7owE6A==" saltValue="u5kmqVfv7FccoPTC63+ZGXiNjOyejPT+qzikKC/QMmnXZj9sbYgdVQcubVnBkGUnwbLQmonp+8I9ka4rhy/FWw==" spinCount="100000" sheet="1" objects="1" scenarios="1"/>
  <mergeCells count="5">
    <mergeCell ref="B8:P8"/>
    <mergeCell ref="A1:Q1"/>
    <mergeCell ref="A2:Q2"/>
    <mergeCell ref="A3:Q3"/>
    <mergeCell ref="A5:Q5"/>
  </mergeCells>
  <pageMargins left="0.7" right="0.7" top="0.75" bottom="0.75" header="0.3" footer="0.3"/>
  <pageSetup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topLeftCell="A43" zoomScale="93" zoomScaleNormal="93" workbookViewId="0">
      <selection activeCell="D52" sqref="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2" t="s">
        <v>0</v>
      </c>
      <c r="B1" s="1313"/>
      <c r="C1" s="1313"/>
      <c r="D1" s="1313"/>
      <c r="E1" s="1314"/>
    </row>
    <row r="2" spans="1:5" s="1" customFormat="1" x14ac:dyDescent="0.25">
      <c r="A2" s="1312" t="s">
        <v>1</v>
      </c>
      <c r="B2" s="1313"/>
      <c r="C2" s="1313"/>
      <c r="D2" s="1313"/>
      <c r="E2" s="1314"/>
    </row>
    <row r="3" spans="1:5" s="1" customFormat="1" x14ac:dyDescent="0.25">
      <c r="A3" s="1315"/>
      <c r="B3" s="1316"/>
      <c r="C3" s="1316"/>
      <c r="D3" s="1316"/>
      <c r="E3" s="1317"/>
    </row>
    <row r="4" spans="1:5" s="1" customFormat="1" x14ac:dyDescent="0.25">
      <c r="A4" s="435"/>
      <c r="B4" s="435"/>
      <c r="C4" s="435"/>
      <c r="D4" s="436"/>
      <c r="E4" s="435"/>
    </row>
    <row r="5" spans="1:5" s="1" customFormat="1" x14ac:dyDescent="0.25">
      <c r="A5" s="1318" t="s">
        <v>545</v>
      </c>
      <c r="B5" s="1319"/>
      <c r="C5" s="1319"/>
      <c r="D5" s="1319"/>
      <c r="E5" s="1320"/>
    </row>
    <row r="6" spans="1:5" s="1" customFormat="1" x14ac:dyDescent="0.25">
      <c r="A6" s="1309" t="s">
        <v>546</v>
      </c>
      <c r="B6" s="1310"/>
      <c r="C6" s="1310"/>
      <c r="D6" s="1311"/>
      <c r="E6" s="1310"/>
    </row>
    <row r="7" spans="1:5" s="1" customFormat="1" x14ac:dyDescent="0.25">
      <c r="A7" s="1310"/>
      <c r="B7" s="1310"/>
      <c r="C7" s="1310"/>
      <c r="D7" s="1311"/>
      <c r="E7" s="1310"/>
    </row>
    <row r="8" spans="1:5" s="1" customFormat="1" x14ac:dyDescent="0.25">
      <c r="A8" s="435"/>
      <c r="B8" s="435"/>
      <c r="C8" s="435"/>
      <c r="D8" s="436"/>
      <c r="E8" s="435"/>
    </row>
    <row r="9" spans="1:5" s="1" customFormat="1" ht="35.25" customHeight="1" thickBot="1" x14ac:dyDescent="0.3">
      <c r="B9" s="1308" t="s">
        <v>547</v>
      </c>
      <c r="C9" s="1308"/>
      <c r="D9" s="1308"/>
      <c r="E9" s="1308"/>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24376.95</v>
      </c>
      <c r="E11" s="444" t="s">
        <v>550</v>
      </c>
    </row>
    <row r="12" spans="1:5" s="1" customFormat="1" ht="46.5" customHeight="1" thickTop="1" thickBot="1" x14ac:dyDescent="0.3">
      <c r="B12" s="441" t="s">
        <v>51</v>
      </c>
      <c r="C12" s="442" t="s">
        <v>551</v>
      </c>
      <c r="D12" s="443">
        <f>SUM(D13:D14)+D18+D19</f>
        <v>3009.3174691498562</v>
      </c>
      <c r="E12" s="444" t="s">
        <v>552</v>
      </c>
    </row>
    <row r="13" spans="1:5" s="1" customFormat="1" ht="41.25" customHeight="1" thickTop="1" x14ac:dyDescent="0.25">
      <c r="B13" s="445" t="s">
        <v>96</v>
      </c>
      <c r="C13" s="446" t="s">
        <v>553</v>
      </c>
      <c r="D13" s="447">
        <f>VAS076_F_Paskirstomasil23IsViso</f>
        <v>986.76966309366605</v>
      </c>
      <c r="E13" s="448" t="s">
        <v>552</v>
      </c>
    </row>
    <row r="14" spans="1:5" s="1" customFormat="1" ht="40.5" customHeight="1" x14ac:dyDescent="0.25">
      <c r="B14" s="449" t="s">
        <v>102</v>
      </c>
      <c r="C14" s="450" t="s">
        <v>554</v>
      </c>
      <c r="D14" s="451">
        <f>VAS076_F_Paskirstomasil24IsViso</f>
        <v>1992.4240060561904</v>
      </c>
      <c r="E14" s="452" t="s">
        <v>552</v>
      </c>
    </row>
    <row r="15" spans="1:5" s="1" customFormat="1" ht="40.5" customHeight="1" x14ac:dyDescent="0.25">
      <c r="B15" s="449" t="s">
        <v>104</v>
      </c>
      <c r="C15" s="450" t="s">
        <v>555</v>
      </c>
      <c r="D15" s="451">
        <f>VAS076_F_Paskirstomasil241NuotekuSurinkimas</f>
        <v>1425.625304494331</v>
      </c>
      <c r="E15" s="452" t="s">
        <v>552</v>
      </c>
    </row>
    <row r="16" spans="1:5" s="1" customFormat="1" ht="36.75" customHeight="1" x14ac:dyDescent="0.25">
      <c r="B16" s="449" t="s">
        <v>110</v>
      </c>
      <c r="C16" s="450" t="s">
        <v>556</v>
      </c>
      <c r="D16" s="451">
        <f>VAS076_F_Paskirstomasil242NuotekuValymas</f>
        <v>543.16324089066973</v>
      </c>
      <c r="E16" s="452" t="s">
        <v>552</v>
      </c>
    </row>
    <row r="17" spans="2:5" s="1" customFormat="1" ht="34.5" customHeight="1" x14ac:dyDescent="0.25">
      <c r="B17" s="449" t="s">
        <v>117</v>
      </c>
      <c r="C17" s="450" t="s">
        <v>557</v>
      </c>
      <c r="D17" s="451">
        <f>VAS076_F_Paskirstomasil243NuotekuDumblo</f>
        <v>23.635460671189836</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30.123799999999999</v>
      </c>
      <c r="E19" s="456" t="s">
        <v>552</v>
      </c>
    </row>
    <row r="20" spans="2:5" s="1" customFormat="1" ht="24" x14ac:dyDescent="0.25">
      <c r="B20" s="457" t="s">
        <v>53</v>
      </c>
      <c r="C20" s="458" t="s">
        <v>560</v>
      </c>
      <c r="D20" s="459">
        <f>SUM(D21:D30)</f>
        <v>21366.422530850145</v>
      </c>
      <c r="E20" s="460"/>
    </row>
    <row r="21" spans="2:5" s="1" customFormat="1" x14ac:dyDescent="0.25">
      <c r="B21" s="449" t="s">
        <v>55</v>
      </c>
      <c r="C21" s="461" t="s">
        <v>561</v>
      </c>
      <c r="D21" s="462">
        <v>21337.87</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c r="E27" s="452"/>
    </row>
    <row r="28" spans="2:5" s="1" customFormat="1" x14ac:dyDescent="0.25">
      <c r="B28" s="449" t="s">
        <v>331</v>
      </c>
      <c r="C28" s="461" t="s">
        <v>568</v>
      </c>
      <c r="D28" s="462">
        <v>4.99</v>
      </c>
      <c r="E28" s="452"/>
    </row>
    <row r="29" spans="2:5" s="1" customFormat="1" ht="24" x14ac:dyDescent="0.25">
      <c r="B29" s="453" t="s">
        <v>333</v>
      </c>
      <c r="C29" s="463" t="s">
        <v>569</v>
      </c>
      <c r="D29" s="464">
        <v>1.89</v>
      </c>
      <c r="E29" s="456"/>
    </row>
    <row r="30" spans="2:5" s="1" customFormat="1" ht="24.75" thickBot="1" x14ac:dyDescent="0.3">
      <c r="B30" s="465" t="s">
        <v>343</v>
      </c>
      <c r="C30" s="466" t="s">
        <v>570</v>
      </c>
      <c r="D30" s="467">
        <f>D11-D12-D31-D21-D22-D23-D24-D25-D26-D27-D28-D29</f>
        <v>21.672530850145556</v>
      </c>
      <c r="E30" s="468"/>
    </row>
    <row r="31" spans="2:5" s="1" customFormat="1" x14ac:dyDescent="0.25">
      <c r="B31" s="469" t="s">
        <v>59</v>
      </c>
      <c r="C31" s="470" t="s">
        <v>571</v>
      </c>
      <c r="D31" s="471">
        <f>SUM(D32:D33)</f>
        <v>1.21</v>
      </c>
      <c r="E31" s="452" t="s">
        <v>552</v>
      </c>
    </row>
    <row r="32" spans="2:5" s="1" customFormat="1" x14ac:dyDescent="0.25">
      <c r="B32" s="449" t="s">
        <v>150</v>
      </c>
      <c r="C32" s="450" t="s">
        <v>572</v>
      </c>
      <c r="D32" s="451">
        <f>VAS076_F_Paskirstomasil26KitosReguliuojamosios</f>
        <v>0</v>
      </c>
      <c r="E32" s="452" t="s">
        <v>552</v>
      </c>
    </row>
    <row r="33" spans="2:5" s="1" customFormat="1" ht="15.75" thickBot="1" x14ac:dyDescent="0.3">
      <c r="B33" s="453" t="s">
        <v>152</v>
      </c>
      <c r="C33" s="454" t="s">
        <v>573</v>
      </c>
      <c r="D33" s="455">
        <f>VAS076_F_Paskirstomasil27KitosVeiklos</f>
        <v>1.21</v>
      </c>
      <c r="E33" s="456" t="s">
        <v>552</v>
      </c>
    </row>
    <row r="34" spans="2:5" s="1" customFormat="1" ht="25.5" thickTop="1" thickBot="1" x14ac:dyDescent="0.3">
      <c r="B34" s="441" t="s">
        <v>574</v>
      </c>
      <c r="C34" s="442" t="s">
        <v>575</v>
      </c>
      <c r="D34" s="472">
        <v>30842.080000000002</v>
      </c>
      <c r="E34" s="444"/>
    </row>
    <row r="35" spans="2:5" s="1" customFormat="1" ht="37.5" thickTop="1" thickBot="1" x14ac:dyDescent="0.3">
      <c r="B35" s="441" t="s">
        <v>63</v>
      </c>
      <c r="C35" s="442" t="s">
        <v>576</v>
      </c>
      <c r="D35" s="443">
        <f>SUM(D36:D37)+D41+D42</f>
        <v>5606.46</v>
      </c>
      <c r="E35" s="444" t="s">
        <v>577</v>
      </c>
    </row>
    <row r="36" spans="2:5" s="1" customFormat="1" ht="24.75" thickTop="1" x14ac:dyDescent="0.25">
      <c r="B36" s="445" t="s">
        <v>65</v>
      </c>
      <c r="C36" s="446" t="s">
        <v>578</v>
      </c>
      <c r="D36" s="447">
        <f>VAS075_F_Paskirstomasil13IsViso</f>
        <v>1904.6539105979252</v>
      </c>
      <c r="E36" s="448" t="s">
        <v>577</v>
      </c>
    </row>
    <row r="37" spans="2:5" s="1" customFormat="1" ht="24" x14ac:dyDescent="0.25">
      <c r="B37" s="449" t="s">
        <v>69</v>
      </c>
      <c r="C37" s="450" t="s">
        <v>579</v>
      </c>
      <c r="D37" s="451">
        <f>VAS075_F_Paskirstomasil14IsViso</f>
        <v>3642.0399533006662</v>
      </c>
      <c r="E37" s="452" t="s">
        <v>577</v>
      </c>
    </row>
    <row r="38" spans="2:5" s="1" customFormat="1" ht="24" x14ac:dyDescent="0.25">
      <c r="B38" s="449" t="s">
        <v>580</v>
      </c>
      <c r="C38" s="450" t="s">
        <v>581</v>
      </c>
      <c r="D38" s="451">
        <f>VAS075_F_Paskirstomasil141NuotekuSurinkimas</f>
        <v>2257.5715703139936</v>
      </c>
      <c r="E38" s="452" t="s">
        <v>577</v>
      </c>
    </row>
    <row r="39" spans="2:5" s="1" customFormat="1" ht="24" x14ac:dyDescent="0.25">
      <c r="B39" s="449" t="s">
        <v>582</v>
      </c>
      <c r="C39" s="450" t="s">
        <v>583</v>
      </c>
      <c r="D39" s="451">
        <f>VAS075_F_Paskirstomasil142NuotekuValymas</f>
        <v>1328.2970912787364</v>
      </c>
      <c r="E39" s="452" t="s">
        <v>577</v>
      </c>
    </row>
    <row r="40" spans="2:5" s="1" customFormat="1" ht="24" x14ac:dyDescent="0.25">
      <c r="B40" s="449" t="s">
        <v>584</v>
      </c>
      <c r="C40" s="450" t="s">
        <v>585</v>
      </c>
      <c r="D40" s="451">
        <f>VAS075_F_Paskirstomasil143NuotekuDumblo</f>
        <v>56.17129170793585</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59.766136101409245</v>
      </c>
      <c r="E42" s="456" t="s">
        <v>577</v>
      </c>
    </row>
    <row r="43" spans="2:5" s="1" customFormat="1" ht="24" x14ac:dyDescent="0.25">
      <c r="B43" s="457" t="s">
        <v>77</v>
      </c>
      <c r="C43" s="458" t="s">
        <v>588</v>
      </c>
      <c r="D43" s="459">
        <f>SUM(D44:D53)</f>
        <v>25233.620000000003</v>
      </c>
      <c r="E43" s="460"/>
    </row>
    <row r="44" spans="2:5" s="1" customFormat="1" x14ac:dyDescent="0.25">
      <c r="B44" s="449" t="s">
        <v>497</v>
      </c>
      <c r="C44" s="461" t="s">
        <v>561</v>
      </c>
      <c r="D44" s="462">
        <v>24399.439999999999</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c r="E50" s="452"/>
    </row>
    <row r="51" spans="2:5" s="1" customFormat="1" x14ac:dyDescent="0.25">
      <c r="B51" s="449" t="s">
        <v>183</v>
      </c>
      <c r="C51" s="461" t="s">
        <v>568</v>
      </c>
      <c r="D51" s="462">
        <v>834.2</v>
      </c>
      <c r="E51" s="452"/>
    </row>
    <row r="52" spans="2:5" s="1" customFormat="1" ht="24" x14ac:dyDescent="0.25">
      <c r="B52" s="453" t="s">
        <v>185</v>
      </c>
      <c r="C52" s="463" t="s">
        <v>569</v>
      </c>
      <c r="D52" s="464">
        <v>3.1</v>
      </c>
      <c r="E52" s="456"/>
    </row>
    <row r="53" spans="2:5" s="1" customFormat="1" ht="24.75" thickBot="1" x14ac:dyDescent="0.3">
      <c r="B53" s="465" t="s">
        <v>187</v>
      </c>
      <c r="C53" s="466" t="s">
        <v>589</v>
      </c>
      <c r="D53" s="473">
        <f>D34-D35-D54-D44-D45-D46-D47-D48-D49-D50-D51-D52</f>
        <v>-3.1199999999961165</v>
      </c>
      <c r="E53" s="468"/>
    </row>
    <row r="54" spans="2:5" s="1" customFormat="1" x14ac:dyDescent="0.25">
      <c r="B54" s="469" t="s">
        <v>79</v>
      </c>
      <c r="C54" s="470" t="s">
        <v>590</v>
      </c>
      <c r="D54" s="471">
        <f>D55+D56</f>
        <v>2</v>
      </c>
      <c r="E54" s="452" t="s">
        <v>577</v>
      </c>
    </row>
    <row r="55" spans="2:5" s="1" customFormat="1" x14ac:dyDescent="0.25">
      <c r="B55" s="449" t="s">
        <v>212</v>
      </c>
      <c r="C55" s="450" t="s">
        <v>591</v>
      </c>
      <c r="D55" s="451">
        <f>VAS075_F_Paskirstomasil16KitosReguliuojamosios</f>
        <v>0</v>
      </c>
      <c r="E55" s="452" t="s">
        <v>577</v>
      </c>
    </row>
    <row r="56" spans="2:5" s="1" customFormat="1" ht="15.75" thickBot="1" x14ac:dyDescent="0.3">
      <c r="B56" s="474" t="s">
        <v>214</v>
      </c>
      <c r="C56" s="475" t="s">
        <v>592</v>
      </c>
      <c r="D56" s="476">
        <f>VAS075_F_Paskirstomasil17KitosVeiklos</f>
        <v>2</v>
      </c>
      <c r="E56" s="468" t="s">
        <v>577</v>
      </c>
    </row>
  </sheetData>
  <sheetProtection algorithmName="SHA-512" hashValue="BVkAR7g7/sRyxX634uTAJYXicOLISORq5/j+lVJIVfdRsPWQw0Os5kwEJH3SElgjvRMZGkX1RUdIXD+nwjziBg==" saltValue="iKOmY/zp694/5npUtkZ6IGZAwI0dZlV0oK9w31QKzHl+zjkIgKGdPGoV5YfLTDjy3lFbD6fT9Tu3X01t0rrVOQ=="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topLeftCell="C1" zoomScale="80" zoomScaleNormal="80" workbookViewId="0">
      <selection activeCell="D97" sqref="D97"/>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1" t="s">
        <v>0</v>
      </c>
      <c r="B1" s="1322"/>
      <c r="C1" s="1322"/>
      <c r="D1" s="1322"/>
      <c r="E1" s="1322"/>
      <c r="F1" s="1322"/>
      <c r="G1" s="1322"/>
      <c r="H1" s="1322"/>
      <c r="I1" s="1322"/>
      <c r="J1" s="1322"/>
      <c r="K1" s="1322"/>
      <c r="L1" s="1322"/>
      <c r="M1" s="1322"/>
      <c r="N1" s="1322"/>
      <c r="O1" s="1322"/>
      <c r="P1" s="1323"/>
    </row>
    <row r="2" spans="1:16" s="1" customFormat="1" x14ac:dyDescent="0.25">
      <c r="A2" s="1321" t="s">
        <v>1</v>
      </c>
      <c r="B2" s="1322"/>
      <c r="C2" s="1322"/>
      <c r="D2" s="1322"/>
      <c r="E2" s="1322"/>
      <c r="F2" s="1322"/>
      <c r="G2" s="1322"/>
      <c r="H2" s="1322"/>
      <c r="I2" s="1322"/>
      <c r="J2" s="1322"/>
      <c r="K2" s="1322"/>
      <c r="L2" s="1322"/>
      <c r="M2" s="1322"/>
      <c r="N2" s="1322"/>
      <c r="O2" s="1322"/>
      <c r="P2" s="1323"/>
    </row>
    <row r="3" spans="1:16" s="1" customFormat="1" x14ac:dyDescent="0.25">
      <c r="A3" s="1324"/>
      <c r="B3" s="1325"/>
      <c r="C3" s="1325"/>
      <c r="D3" s="1325"/>
      <c r="E3" s="1325"/>
      <c r="F3" s="1325"/>
      <c r="G3" s="1325"/>
      <c r="H3" s="1325"/>
      <c r="I3" s="1325"/>
      <c r="J3" s="1325"/>
      <c r="K3" s="1325"/>
      <c r="L3" s="1325"/>
      <c r="M3" s="1325"/>
      <c r="N3" s="1325"/>
      <c r="O3" s="1325"/>
      <c r="P3" s="1326"/>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7" t="s">
        <v>593</v>
      </c>
      <c r="B5" s="1328"/>
      <c r="C5" s="1328"/>
      <c r="D5" s="1328"/>
      <c r="E5" s="1328"/>
      <c r="F5" s="1328"/>
      <c r="G5" s="1328"/>
      <c r="H5" s="1328"/>
      <c r="I5" s="1328"/>
      <c r="J5" s="1328"/>
      <c r="K5" s="1328"/>
      <c r="L5" s="1328"/>
      <c r="M5" s="1328"/>
      <c r="N5" s="1328"/>
      <c r="O5" s="1328"/>
      <c r="P5" s="1329"/>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7" t="s">
        <v>594</v>
      </c>
      <c r="C8" s="1277"/>
      <c r="D8" s="1277"/>
      <c r="E8" s="1277"/>
      <c r="F8" s="1277"/>
      <c r="G8" s="1277"/>
      <c r="H8" s="1277"/>
      <c r="I8" s="1277"/>
      <c r="J8" s="1277"/>
      <c r="K8" s="1277"/>
      <c r="L8" s="1277"/>
      <c r="M8" s="1277"/>
      <c r="N8" s="1277"/>
      <c r="O8" s="1277"/>
      <c r="P8" s="1277"/>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5608.4600000000009</v>
      </c>
      <c r="E10" s="492">
        <f t="shared" si="0"/>
        <v>59.766136101409245</v>
      </c>
      <c r="F10" s="493">
        <f t="shared" si="0"/>
        <v>1904.6539105979252</v>
      </c>
      <c r="G10" s="494">
        <f t="shared" si="0"/>
        <v>196.50386157014023</v>
      </c>
      <c r="H10" s="495">
        <f t="shared" si="0"/>
        <v>52.574449191124096</v>
      </c>
      <c r="I10" s="496">
        <f t="shared" si="0"/>
        <v>1655.575599836661</v>
      </c>
      <c r="J10" s="493">
        <f t="shared" si="0"/>
        <v>3642.0399533006662</v>
      </c>
      <c r="K10" s="494">
        <f t="shared" si="0"/>
        <v>2257.5715703139936</v>
      </c>
      <c r="L10" s="495">
        <f t="shared" si="0"/>
        <v>1328.2970912787364</v>
      </c>
      <c r="M10" s="497">
        <f t="shared" si="0"/>
        <v>56.17129170793585</v>
      </c>
      <c r="N10" s="492">
        <f t="shared" si="0"/>
        <v>0</v>
      </c>
      <c r="O10" s="498">
        <f t="shared" si="0"/>
        <v>0</v>
      </c>
      <c r="P10" s="493">
        <f t="shared" si="0"/>
        <v>2</v>
      </c>
    </row>
    <row r="11" spans="1:16" s="1" customFormat="1" ht="15.75" thickTop="1" x14ac:dyDescent="0.25">
      <c r="B11" s="499" t="s">
        <v>96</v>
      </c>
      <c r="C11" s="500" t="s">
        <v>8</v>
      </c>
      <c r="D11" s="501">
        <f t="shared" ref="D11:D55" si="1">E11+F11+J11+N11+O11+P11</f>
        <v>0</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0</v>
      </c>
    </row>
    <row r="12" spans="1:16" s="1" customFormat="1" x14ac:dyDescent="0.25">
      <c r="B12" s="509" t="s">
        <v>98</v>
      </c>
      <c r="C12" s="510" t="s">
        <v>10</v>
      </c>
      <c r="D12" s="501">
        <f t="shared" si="1"/>
        <v>0</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5230.17</v>
      </c>
      <c r="E15" s="502">
        <f>SUM(E16:E19)</f>
        <v>0.5466361014092338</v>
      </c>
      <c r="F15" s="503">
        <f t="shared" si="2"/>
        <v>1800.9509105979253</v>
      </c>
      <c r="G15" s="504">
        <f>SUM(G16:G19)</f>
        <v>121.67536157014024</v>
      </c>
      <c r="H15" s="505">
        <f>SUM(H16:H19)</f>
        <v>52.04494919112409</v>
      </c>
      <c r="I15" s="506">
        <f>SUM(I16:I19)</f>
        <v>1627.230599836661</v>
      </c>
      <c r="J15" s="503">
        <f t="shared" si="3"/>
        <v>3428.6724533006659</v>
      </c>
      <c r="K15" s="521">
        <f t="shared" ref="K15:P15" si="8">SUM(K16:K19)</f>
        <v>2102.9215703139935</v>
      </c>
      <c r="L15" s="522">
        <f t="shared" si="8"/>
        <v>1271.6790912787365</v>
      </c>
      <c r="M15" s="522">
        <f t="shared" si="8"/>
        <v>54.071791707935844</v>
      </c>
      <c r="N15" s="523">
        <f t="shared" si="8"/>
        <v>0</v>
      </c>
      <c r="O15" s="502">
        <f t="shared" si="8"/>
        <v>0</v>
      </c>
      <c r="P15" s="503">
        <f t="shared" si="8"/>
        <v>0</v>
      </c>
    </row>
    <row r="16" spans="1:16" s="1" customFormat="1" x14ac:dyDescent="0.25">
      <c r="B16" s="509" t="s">
        <v>104</v>
      </c>
      <c r="C16" s="510" t="s">
        <v>17</v>
      </c>
      <c r="D16" s="501">
        <f t="shared" si="1"/>
        <v>589.66000000000008</v>
      </c>
      <c r="E16" s="511">
        <f t="shared" ref="E16:E19" si="9">SUM(E39,E62,E102)</f>
        <v>0.5466361014092338</v>
      </c>
      <c r="F16" s="503">
        <f t="shared" si="2"/>
        <v>123.67091059792526</v>
      </c>
      <c r="G16" s="512">
        <f t="shared" ref="G16:I19" si="10">SUM(G39,G62,G102)</f>
        <v>91.335361570140236</v>
      </c>
      <c r="H16" s="513">
        <f t="shared" si="10"/>
        <v>14.624949191124085</v>
      </c>
      <c r="I16" s="513">
        <f t="shared" si="10"/>
        <v>17.710599836660933</v>
      </c>
      <c r="J16" s="503">
        <f t="shared" si="3"/>
        <v>465.44245330066553</v>
      </c>
      <c r="K16" s="514">
        <f t="shared" ref="K16:P19" si="11">SUM(K39,K62,K102)</f>
        <v>195.2315703139933</v>
      </c>
      <c r="L16" s="515">
        <f t="shared" si="11"/>
        <v>236.15909127873638</v>
      </c>
      <c r="M16" s="515">
        <f t="shared" si="11"/>
        <v>34.051791707935848</v>
      </c>
      <c r="N16" s="516">
        <f t="shared" si="11"/>
        <v>0</v>
      </c>
      <c r="O16" s="517">
        <f t="shared" si="11"/>
        <v>0</v>
      </c>
      <c r="P16" s="519">
        <f t="shared" si="11"/>
        <v>0</v>
      </c>
    </row>
    <row r="17" spans="2:16" s="1" customFormat="1" x14ac:dyDescent="0.25">
      <c r="B17" s="509" t="s">
        <v>110</v>
      </c>
      <c r="C17" s="510" t="s">
        <v>597</v>
      </c>
      <c r="D17" s="501">
        <f t="shared" si="1"/>
        <v>11.120000000000001</v>
      </c>
      <c r="E17" s="511">
        <f t="shared" si="9"/>
        <v>0</v>
      </c>
      <c r="F17" s="503">
        <f t="shared" si="2"/>
        <v>0</v>
      </c>
      <c r="G17" s="512">
        <f t="shared" si="10"/>
        <v>0</v>
      </c>
      <c r="H17" s="513">
        <f t="shared" si="10"/>
        <v>0</v>
      </c>
      <c r="I17" s="513">
        <f t="shared" si="10"/>
        <v>0</v>
      </c>
      <c r="J17" s="503">
        <f t="shared" si="3"/>
        <v>11.120000000000001</v>
      </c>
      <c r="K17" s="514">
        <f t="shared" si="11"/>
        <v>7.32</v>
      </c>
      <c r="L17" s="515">
        <f t="shared" si="11"/>
        <v>3.8</v>
      </c>
      <c r="M17" s="515">
        <f t="shared" si="11"/>
        <v>0</v>
      </c>
      <c r="N17" s="516">
        <f t="shared" si="11"/>
        <v>0</v>
      </c>
      <c r="O17" s="517">
        <f t="shared" si="11"/>
        <v>0</v>
      </c>
      <c r="P17" s="519">
        <f t="shared" si="11"/>
        <v>0</v>
      </c>
    </row>
    <row r="18" spans="2:16" s="1" customFormat="1" x14ac:dyDescent="0.25">
      <c r="B18" s="509" t="s">
        <v>117</v>
      </c>
      <c r="C18" s="510" t="s">
        <v>23</v>
      </c>
      <c r="D18" s="501">
        <f t="shared" si="1"/>
        <v>3373.7200000000003</v>
      </c>
      <c r="E18" s="511">
        <f t="shared" si="9"/>
        <v>0</v>
      </c>
      <c r="F18" s="503">
        <f t="shared" si="2"/>
        <v>1599.2</v>
      </c>
      <c r="G18" s="512">
        <f t="shared" si="10"/>
        <v>0</v>
      </c>
      <c r="H18" s="513">
        <f t="shared" si="10"/>
        <v>0</v>
      </c>
      <c r="I18" s="513">
        <f t="shared" si="10"/>
        <v>1599.2</v>
      </c>
      <c r="J18" s="503">
        <f t="shared" si="3"/>
        <v>1774.52</v>
      </c>
      <c r="K18" s="514">
        <f t="shared" si="11"/>
        <v>1774.52</v>
      </c>
      <c r="L18" s="515">
        <f t="shared" si="11"/>
        <v>0</v>
      </c>
      <c r="M18" s="515">
        <f t="shared" si="11"/>
        <v>0</v>
      </c>
      <c r="N18" s="516">
        <f t="shared" si="11"/>
        <v>0</v>
      </c>
      <c r="O18" s="517">
        <f t="shared" si="11"/>
        <v>0</v>
      </c>
      <c r="P18" s="519">
        <f t="shared" si="11"/>
        <v>0</v>
      </c>
    </row>
    <row r="19" spans="2:16" s="1" customFormat="1" ht="38.25" x14ac:dyDescent="0.25">
      <c r="B19" s="509" t="s">
        <v>598</v>
      </c>
      <c r="C19" s="510" t="s">
        <v>599</v>
      </c>
      <c r="D19" s="501">
        <f t="shared" si="1"/>
        <v>1255.6699999999998</v>
      </c>
      <c r="E19" s="511">
        <f t="shared" si="9"/>
        <v>0</v>
      </c>
      <c r="F19" s="503">
        <f t="shared" si="2"/>
        <v>78.080000000000013</v>
      </c>
      <c r="G19" s="512">
        <f t="shared" si="10"/>
        <v>30.34</v>
      </c>
      <c r="H19" s="513">
        <f t="shared" si="10"/>
        <v>37.42</v>
      </c>
      <c r="I19" s="513">
        <f t="shared" si="10"/>
        <v>10.32</v>
      </c>
      <c r="J19" s="503">
        <f t="shared" si="3"/>
        <v>1177.5899999999999</v>
      </c>
      <c r="K19" s="514">
        <f t="shared" si="11"/>
        <v>125.85</v>
      </c>
      <c r="L19" s="515">
        <f t="shared" si="11"/>
        <v>1031.72</v>
      </c>
      <c r="M19" s="515">
        <f t="shared" si="11"/>
        <v>20.02</v>
      </c>
      <c r="N19" s="516">
        <f t="shared" si="11"/>
        <v>0</v>
      </c>
      <c r="O19" s="517">
        <f t="shared" si="11"/>
        <v>0</v>
      </c>
      <c r="P19" s="519">
        <f t="shared" si="11"/>
        <v>0</v>
      </c>
    </row>
    <row r="20" spans="2:16" s="1" customFormat="1" x14ac:dyDescent="0.25">
      <c r="B20" s="499" t="s">
        <v>124</v>
      </c>
      <c r="C20" s="524" t="s">
        <v>27</v>
      </c>
      <c r="D20" s="501">
        <f t="shared" si="1"/>
        <v>239.1</v>
      </c>
      <c r="E20" s="502">
        <f>SUM(E21:E22)</f>
        <v>0.17859999999999998</v>
      </c>
      <c r="F20" s="503">
        <f t="shared" si="2"/>
        <v>91.77239999999999</v>
      </c>
      <c r="G20" s="504">
        <f>SUM(G21:G22)</f>
        <v>73.77579999999999</v>
      </c>
      <c r="H20" s="505">
        <f>SUM(H21:H22)</f>
        <v>0.17859999999999998</v>
      </c>
      <c r="I20" s="506">
        <f>SUM(I21:I22)</f>
        <v>17.818000000000001</v>
      </c>
      <c r="J20" s="503">
        <f t="shared" si="3"/>
        <v>147.149</v>
      </c>
      <c r="K20" s="521">
        <f t="shared" ref="K20:P20" si="12">SUM(K21:K22)</f>
        <v>98.733999999999995</v>
      </c>
      <c r="L20" s="522">
        <f t="shared" si="12"/>
        <v>46.666399999999996</v>
      </c>
      <c r="M20" s="522">
        <f t="shared" si="12"/>
        <v>1.7486000000000002</v>
      </c>
      <c r="N20" s="523">
        <f t="shared" si="12"/>
        <v>0</v>
      </c>
      <c r="O20" s="502">
        <f t="shared" si="12"/>
        <v>0</v>
      </c>
      <c r="P20" s="503">
        <f t="shared" si="12"/>
        <v>0</v>
      </c>
    </row>
    <row r="21" spans="2:16" s="1" customFormat="1" ht="51.75" x14ac:dyDescent="0.25">
      <c r="B21" s="509" t="s">
        <v>126</v>
      </c>
      <c r="C21" s="525" t="s">
        <v>29</v>
      </c>
      <c r="D21" s="501">
        <f t="shared" si="1"/>
        <v>229.82</v>
      </c>
      <c r="E21" s="511">
        <f>SUM(E44,E67,E107)</f>
        <v>0.17859999999999998</v>
      </c>
      <c r="F21" s="503">
        <f t="shared" si="2"/>
        <v>91.77239999999999</v>
      </c>
      <c r="G21" s="512">
        <f t="shared" ref="G21:I21" si="13">SUM(G44,G67,G107)</f>
        <v>73.77579999999999</v>
      </c>
      <c r="H21" s="513">
        <f t="shared" si="13"/>
        <v>0.17859999999999998</v>
      </c>
      <c r="I21" s="513">
        <f t="shared" si="13"/>
        <v>17.818000000000001</v>
      </c>
      <c r="J21" s="503">
        <f t="shared" si="3"/>
        <v>137.869</v>
      </c>
      <c r="K21" s="514">
        <f t="shared" ref="K21:P21" si="14">SUM(K44,K67,K107)</f>
        <v>90.603999999999999</v>
      </c>
      <c r="L21" s="515">
        <f t="shared" si="14"/>
        <v>45.516399999999997</v>
      </c>
      <c r="M21" s="515">
        <f t="shared" si="14"/>
        <v>1.7486000000000002</v>
      </c>
      <c r="N21" s="516">
        <f t="shared" si="14"/>
        <v>0</v>
      </c>
      <c r="O21" s="517">
        <f t="shared" si="14"/>
        <v>0</v>
      </c>
      <c r="P21" s="519">
        <f t="shared" si="14"/>
        <v>0</v>
      </c>
    </row>
    <row r="22" spans="2:16" s="1" customFormat="1" x14ac:dyDescent="0.25">
      <c r="B22" s="509" t="s">
        <v>128</v>
      </c>
      <c r="C22" s="525" t="s">
        <v>31</v>
      </c>
      <c r="D22" s="501">
        <f t="shared" si="1"/>
        <v>9.2800000000000011</v>
      </c>
      <c r="E22" s="511">
        <f>SUM(E45,E68)</f>
        <v>0</v>
      </c>
      <c r="F22" s="503">
        <f t="shared" si="2"/>
        <v>0</v>
      </c>
      <c r="G22" s="512">
        <f t="shared" ref="G22:I22" si="15">SUM(G45,G68)</f>
        <v>0</v>
      </c>
      <c r="H22" s="513">
        <f t="shared" si="15"/>
        <v>0</v>
      </c>
      <c r="I22" s="513">
        <f t="shared" si="15"/>
        <v>0</v>
      </c>
      <c r="J22" s="503">
        <f t="shared" si="3"/>
        <v>9.2800000000000011</v>
      </c>
      <c r="K22" s="514">
        <f t="shared" ref="K22:P22" si="16">SUM(K45,K68)</f>
        <v>8.1300000000000008</v>
      </c>
      <c r="L22" s="515">
        <f t="shared" si="16"/>
        <v>1.1499999999999999</v>
      </c>
      <c r="M22" s="515">
        <f t="shared" si="16"/>
        <v>0</v>
      </c>
      <c r="N22" s="516">
        <f t="shared" si="16"/>
        <v>0</v>
      </c>
      <c r="O22" s="517">
        <f t="shared" si="16"/>
        <v>0</v>
      </c>
      <c r="P22" s="519">
        <f t="shared" si="16"/>
        <v>0</v>
      </c>
    </row>
    <row r="23" spans="2:16" s="1" customFormat="1" x14ac:dyDescent="0.25">
      <c r="B23" s="499" t="s">
        <v>131</v>
      </c>
      <c r="C23" s="524" t="s">
        <v>33</v>
      </c>
      <c r="D23" s="501">
        <f t="shared" si="1"/>
        <v>63.92</v>
      </c>
      <c r="E23" s="502">
        <f>SUM(E24:E25)</f>
        <v>55.410500000000006</v>
      </c>
      <c r="F23" s="503">
        <f t="shared" si="2"/>
        <v>2.3970000000000002</v>
      </c>
      <c r="G23" s="504">
        <f>SUM(G24:G25)</f>
        <v>0.21149999999999999</v>
      </c>
      <c r="H23" s="505">
        <f>SUM(H24:H25)</f>
        <v>7.0499999999999993E-2</v>
      </c>
      <c r="I23" s="506">
        <f>SUM(I24:I25)</f>
        <v>2.1150000000000002</v>
      </c>
      <c r="J23" s="503">
        <f t="shared" si="3"/>
        <v>6.1124999999999998</v>
      </c>
      <c r="K23" s="521">
        <f t="shared" ref="K23:P23" si="17">SUM(K24:K25)</f>
        <v>2.82</v>
      </c>
      <c r="L23" s="522">
        <f t="shared" si="17"/>
        <v>3.2219999999999995</v>
      </c>
      <c r="M23" s="522">
        <f t="shared" si="17"/>
        <v>7.0499999999999993E-2</v>
      </c>
      <c r="N23" s="523">
        <f t="shared" si="17"/>
        <v>0</v>
      </c>
      <c r="O23" s="502">
        <f t="shared" si="17"/>
        <v>0</v>
      </c>
      <c r="P23" s="503">
        <f t="shared" si="17"/>
        <v>0</v>
      </c>
    </row>
    <row r="24" spans="2:16" s="1" customFormat="1" x14ac:dyDescent="0.25">
      <c r="B24" s="526" t="s">
        <v>133</v>
      </c>
      <c r="C24" s="525" t="s">
        <v>600</v>
      </c>
      <c r="D24" s="501">
        <f t="shared" si="1"/>
        <v>56.040000000000006</v>
      </c>
      <c r="E24" s="511">
        <f>SUM(E47,E70,E109)</f>
        <v>55.34</v>
      </c>
      <c r="F24" s="527">
        <f t="shared" si="2"/>
        <v>0</v>
      </c>
      <c r="G24" s="528">
        <f t="shared" ref="G24:I25" si="18">SUM(G47,G70,G109)</f>
        <v>0</v>
      </c>
      <c r="H24" s="529">
        <f t="shared" si="18"/>
        <v>0</v>
      </c>
      <c r="I24" s="529">
        <f t="shared" si="18"/>
        <v>0</v>
      </c>
      <c r="J24" s="527">
        <f t="shared" si="3"/>
        <v>0.7</v>
      </c>
      <c r="K24" s="530">
        <f t="shared" ref="K24:P25" si="19">SUM(K47,K70,K109)</f>
        <v>0</v>
      </c>
      <c r="L24" s="531">
        <f t="shared" si="19"/>
        <v>0.7</v>
      </c>
      <c r="M24" s="531">
        <f t="shared" si="19"/>
        <v>0</v>
      </c>
      <c r="N24" s="532">
        <f t="shared" si="19"/>
        <v>0</v>
      </c>
      <c r="O24" s="533">
        <f t="shared" si="19"/>
        <v>0</v>
      </c>
      <c r="P24" s="534">
        <f t="shared" si="19"/>
        <v>0</v>
      </c>
    </row>
    <row r="25" spans="2:16" s="1" customFormat="1" ht="26.25" x14ac:dyDescent="0.25">
      <c r="B25" s="526" t="s">
        <v>135</v>
      </c>
      <c r="C25" s="535" t="s">
        <v>601</v>
      </c>
      <c r="D25" s="501">
        <f t="shared" si="1"/>
        <v>7.88</v>
      </c>
      <c r="E25" s="511">
        <f>SUM(E48,E71,E110)</f>
        <v>7.0499999999999993E-2</v>
      </c>
      <c r="F25" s="527">
        <f t="shared" si="2"/>
        <v>2.3970000000000002</v>
      </c>
      <c r="G25" s="528">
        <f t="shared" si="18"/>
        <v>0.21149999999999999</v>
      </c>
      <c r="H25" s="529">
        <f t="shared" si="18"/>
        <v>7.0499999999999993E-2</v>
      </c>
      <c r="I25" s="529">
        <f t="shared" si="18"/>
        <v>2.1150000000000002</v>
      </c>
      <c r="J25" s="527">
        <f t="shared" si="3"/>
        <v>5.4124999999999996</v>
      </c>
      <c r="K25" s="530">
        <f t="shared" si="19"/>
        <v>2.82</v>
      </c>
      <c r="L25" s="531">
        <f t="shared" si="19"/>
        <v>2.5219999999999998</v>
      </c>
      <c r="M25" s="531">
        <f t="shared" si="19"/>
        <v>7.0499999999999993E-2</v>
      </c>
      <c r="N25" s="532">
        <f t="shared" si="19"/>
        <v>0</v>
      </c>
      <c r="O25" s="533">
        <f t="shared" si="19"/>
        <v>0</v>
      </c>
      <c r="P25" s="534">
        <f t="shared" si="19"/>
        <v>0</v>
      </c>
    </row>
    <row r="26" spans="2:16" s="1" customFormat="1" x14ac:dyDescent="0.25">
      <c r="B26" s="499" t="s">
        <v>274</v>
      </c>
      <c r="C26" s="536" t="s">
        <v>39</v>
      </c>
      <c r="D26" s="537">
        <f t="shared" si="1"/>
        <v>75.27</v>
      </c>
      <c r="E26" s="538">
        <f>SUM(E27:E28)</f>
        <v>3.6304000000000003</v>
      </c>
      <c r="F26" s="539">
        <f t="shared" si="2"/>
        <v>9.5335999999999999</v>
      </c>
      <c r="G26" s="540">
        <f>SUM(G27:G28)</f>
        <v>0.84119999999999995</v>
      </c>
      <c r="H26" s="541">
        <f>SUM(H27:H28)</f>
        <v>0.28039999999999998</v>
      </c>
      <c r="I26" s="542">
        <f>SUM(I27:I28)</f>
        <v>8.4120000000000008</v>
      </c>
      <c r="J26" s="539">
        <f t="shared" si="3"/>
        <v>60.106000000000002</v>
      </c>
      <c r="K26" s="540">
        <f t="shared" ref="K26:P26" si="20">SUM(K27:K28)</f>
        <v>53.096000000000004</v>
      </c>
      <c r="L26" s="541">
        <f t="shared" si="20"/>
        <v>6.7295999999999996</v>
      </c>
      <c r="M26" s="541">
        <f t="shared" si="20"/>
        <v>0.28039999999999998</v>
      </c>
      <c r="N26" s="543">
        <f t="shared" si="20"/>
        <v>0</v>
      </c>
      <c r="O26" s="538">
        <f t="shared" si="20"/>
        <v>0</v>
      </c>
      <c r="P26" s="539">
        <f t="shared" si="20"/>
        <v>2</v>
      </c>
    </row>
    <row r="27" spans="2:16" s="1" customFormat="1" x14ac:dyDescent="0.25">
      <c r="B27" s="544" t="s">
        <v>276</v>
      </c>
      <c r="C27" s="545" t="s">
        <v>41</v>
      </c>
      <c r="D27" s="546">
        <f t="shared" si="1"/>
        <v>13.879999999999999</v>
      </c>
      <c r="E27" s="511">
        <f>SUM(E50,E73,E112)</f>
        <v>3.4553000000000003</v>
      </c>
      <c r="F27" s="547">
        <f t="shared" si="2"/>
        <v>3.5801999999999996</v>
      </c>
      <c r="G27" s="548">
        <f t="shared" ref="G27:I28" si="21">SUM(G50,G73,G112)</f>
        <v>0.31589999999999996</v>
      </c>
      <c r="H27" s="549">
        <f t="shared" si="21"/>
        <v>0.10529999999999999</v>
      </c>
      <c r="I27" s="549">
        <f t="shared" si="21"/>
        <v>3.1589999999999998</v>
      </c>
      <c r="J27" s="547">
        <f t="shared" si="3"/>
        <v>6.8444999999999991</v>
      </c>
      <c r="K27" s="530">
        <f t="shared" ref="K27:P28" si="22">SUM(K50,K73,K112)</f>
        <v>4.2119999999999997</v>
      </c>
      <c r="L27" s="531">
        <f t="shared" si="22"/>
        <v>2.5271999999999997</v>
      </c>
      <c r="M27" s="531">
        <f t="shared" si="22"/>
        <v>0.10529999999999999</v>
      </c>
      <c r="N27" s="532">
        <f t="shared" si="22"/>
        <v>0</v>
      </c>
      <c r="O27" s="550">
        <f t="shared" si="22"/>
        <v>0</v>
      </c>
      <c r="P27" s="551">
        <f t="shared" si="22"/>
        <v>0</v>
      </c>
    </row>
    <row r="28" spans="2:16" s="1" customFormat="1" ht="26.25" x14ac:dyDescent="0.25">
      <c r="B28" s="544" t="s">
        <v>278</v>
      </c>
      <c r="C28" s="552" t="s">
        <v>43</v>
      </c>
      <c r="D28" s="537">
        <f t="shared" si="1"/>
        <v>61.39</v>
      </c>
      <c r="E28" s="511">
        <f>SUM(E51,E74,E113)</f>
        <v>0.17510000000000001</v>
      </c>
      <c r="F28" s="539">
        <f t="shared" si="2"/>
        <v>5.9534000000000011</v>
      </c>
      <c r="G28" s="530">
        <f t="shared" si="21"/>
        <v>0.52529999999999999</v>
      </c>
      <c r="H28" s="531">
        <f t="shared" si="21"/>
        <v>0.17510000000000001</v>
      </c>
      <c r="I28" s="531">
        <f t="shared" si="21"/>
        <v>5.253000000000001</v>
      </c>
      <c r="J28" s="539">
        <f t="shared" si="3"/>
        <v>53.261499999999998</v>
      </c>
      <c r="K28" s="530">
        <f t="shared" si="22"/>
        <v>48.884</v>
      </c>
      <c r="L28" s="531">
        <f t="shared" si="22"/>
        <v>4.2023999999999999</v>
      </c>
      <c r="M28" s="531">
        <f t="shared" si="22"/>
        <v>0.17510000000000001</v>
      </c>
      <c r="N28" s="532">
        <f t="shared" si="22"/>
        <v>0</v>
      </c>
      <c r="O28" s="553">
        <f t="shared" si="22"/>
        <v>0</v>
      </c>
      <c r="P28" s="554">
        <f t="shared" si="22"/>
        <v>2</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5487.99</v>
      </c>
      <c r="E33" s="492">
        <f t="shared" ref="E33:P33" si="27">E34+E38+E43+E46+E49+E52</f>
        <v>58.690000000000005</v>
      </c>
      <c r="F33" s="493">
        <f t="shared" si="27"/>
        <v>1865.54</v>
      </c>
      <c r="G33" s="494">
        <f t="shared" si="27"/>
        <v>191.12</v>
      </c>
      <c r="H33" s="495">
        <f t="shared" si="27"/>
        <v>51.160000000000004</v>
      </c>
      <c r="I33" s="496">
        <f t="shared" si="27"/>
        <v>1623.26</v>
      </c>
      <c r="J33" s="493">
        <f t="shared" si="27"/>
        <v>3561.76</v>
      </c>
      <c r="K33" s="494">
        <f t="shared" si="27"/>
        <v>2210.36</v>
      </c>
      <c r="L33" s="495">
        <f t="shared" si="27"/>
        <v>1297.1099999999999</v>
      </c>
      <c r="M33" s="495">
        <f t="shared" si="27"/>
        <v>54.29</v>
      </c>
      <c r="N33" s="570">
        <f t="shared" si="27"/>
        <v>0</v>
      </c>
      <c r="O33" s="492">
        <f t="shared" si="27"/>
        <v>0</v>
      </c>
      <c r="P33" s="493">
        <f t="shared" si="27"/>
        <v>2</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5162.6499999999996</v>
      </c>
      <c r="E38" s="502">
        <f>SUM(E39:E42)</f>
        <v>0</v>
      </c>
      <c r="F38" s="503">
        <f t="shared" si="28"/>
        <v>1779.84</v>
      </c>
      <c r="G38" s="504">
        <f>SUM(G39:G42)</f>
        <v>117.88000000000001</v>
      </c>
      <c r="H38" s="505">
        <f>SUM(H39:H42)</f>
        <v>51.160000000000004</v>
      </c>
      <c r="I38" s="506">
        <f>SUM(I39:I42)</f>
        <v>1610.8</v>
      </c>
      <c r="J38" s="503">
        <f t="shared" si="29"/>
        <v>3382.81</v>
      </c>
      <c r="K38" s="504">
        <f t="shared" ref="K38:P38" si="31">SUM(K39:K42)</f>
        <v>2076.89</v>
      </c>
      <c r="L38" s="505">
        <f t="shared" si="31"/>
        <v>1253.2</v>
      </c>
      <c r="M38" s="507">
        <f t="shared" si="31"/>
        <v>52.72</v>
      </c>
      <c r="N38" s="502">
        <f t="shared" si="31"/>
        <v>0</v>
      </c>
      <c r="O38" s="508">
        <f t="shared" si="31"/>
        <v>0</v>
      </c>
      <c r="P38" s="503">
        <f t="shared" si="31"/>
        <v>0</v>
      </c>
    </row>
    <row r="39" spans="2:16" s="1" customFormat="1" x14ac:dyDescent="0.25">
      <c r="B39" s="509" t="s">
        <v>143</v>
      </c>
      <c r="C39" s="510" t="s">
        <v>17</v>
      </c>
      <c r="D39" s="501">
        <f t="shared" si="1"/>
        <v>522.14</v>
      </c>
      <c r="E39" s="572">
        <v>0</v>
      </c>
      <c r="F39" s="503">
        <f t="shared" si="28"/>
        <v>102.56</v>
      </c>
      <c r="G39" s="309">
        <v>87.54</v>
      </c>
      <c r="H39" s="310">
        <v>13.74</v>
      </c>
      <c r="I39" s="573">
        <v>1.28</v>
      </c>
      <c r="J39" s="503">
        <f t="shared" si="29"/>
        <v>419.58</v>
      </c>
      <c r="K39" s="309">
        <v>169.2</v>
      </c>
      <c r="L39" s="310">
        <v>217.68</v>
      </c>
      <c r="M39" s="311">
        <v>32.700000000000003</v>
      </c>
      <c r="N39" s="572">
        <v>0</v>
      </c>
      <c r="O39" s="574">
        <v>0</v>
      </c>
      <c r="P39" s="575">
        <v>0</v>
      </c>
    </row>
    <row r="40" spans="2:16" s="1" customFormat="1" x14ac:dyDescent="0.25">
      <c r="B40" s="509" t="s">
        <v>145</v>
      </c>
      <c r="C40" s="510" t="s">
        <v>597</v>
      </c>
      <c r="D40" s="501">
        <f t="shared" si="1"/>
        <v>11.120000000000001</v>
      </c>
      <c r="E40" s="572">
        <v>0</v>
      </c>
      <c r="F40" s="503">
        <f t="shared" si="28"/>
        <v>0</v>
      </c>
      <c r="G40" s="309">
        <v>0</v>
      </c>
      <c r="H40" s="310">
        <v>0</v>
      </c>
      <c r="I40" s="573">
        <v>0</v>
      </c>
      <c r="J40" s="503">
        <f t="shared" si="29"/>
        <v>11.120000000000001</v>
      </c>
      <c r="K40" s="309">
        <v>7.32</v>
      </c>
      <c r="L40" s="310">
        <v>3.8</v>
      </c>
      <c r="M40" s="311">
        <v>0</v>
      </c>
      <c r="N40" s="572">
        <v>0</v>
      </c>
      <c r="O40" s="574">
        <v>0</v>
      </c>
      <c r="P40" s="575">
        <v>0</v>
      </c>
    </row>
    <row r="41" spans="2:16" s="1" customFormat="1" x14ac:dyDescent="0.25">
      <c r="B41" s="509" t="s">
        <v>608</v>
      </c>
      <c r="C41" s="510" t="s">
        <v>23</v>
      </c>
      <c r="D41" s="501">
        <f t="shared" si="1"/>
        <v>3373.7200000000003</v>
      </c>
      <c r="E41" s="572">
        <v>0</v>
      </c>
      <c r="F41" s="503">
        <f t="shared" si="28"/>
        <v>1599.2</v>
      </c>
      <c r="G41" s="309">
        <v>0</v>
      </c>
      <c r="H41" s="310">
        <v>0</v>
      </c>
      <c r="I41" s="573">
        <v>1599.2</v>
      </c>
      <c r="J41" s="503">
        <f t="shared" si="29"/>
        <v>1774.52</v>
      </c>
      <c r="K41" s="309">
        <v>1774.52</v>
      </c>
      <c r="L41" s="310">
        <v>0</v>
      </c>
      <c r="M41" s="311">
        <v>0</v>
      </c>
      <c r="N41" s="572">
        <v>0</v>
      </c>
      <c r="O41" s="574">
        <v>0</v>
      </c>
      <c r="P41" s="575">
        <v>0</v>
      </c>
    </row>
    <row r="42" spans="2:16" s="1" customFormat="1" ht="38.25" x14ac:dyDescent="0.25">
      <c r="B42" s="509" t="s">
        <v>609</v>
      </c>
      <c r="C42" s="510" t="s">
        <v>599</v>
      </c>
      <c r="D42" s="501">
        <f t="shared" si="1"/>
        <v>1255.6699999999998</v>
      </c>
      <c r="E42" s="572">
        <v>0</v>
      </c>
      <c r="F42" s="503">
        <f t="shared" si="28"/>
        <v>78.080000000000013</v>
      </c>
      <c r="G42" s="309">
        <v>30.34</v>
      </c>
      <c r="H42" s="310">
        <v>37.42</v>
      </c>
      <c r="I42" s="573">
        <v>10.32</v>
      </c>
      <c r="J42" s="503">
        <f t="shared" si="29"/>
        <v>1177.5899999999999</v>
      </c>
      <c r="K42" s="309">
        <v>125.85</v>
      </c>
      <c r="L42" s="310">
        <v>1031.72</v>
      </c>
      <c r="M42" s="311">
        <v>20.02</v>
      </c>
      <c r="N42" s="572">
        <v>0</v>
      </c>
      <c r="O42" s="574">
        <v>0</v>
      </c>
      <c r="P42" s="575">
        <v>0</v>
      </c>
    </row>
    <row r="43" spans="2:16" s="1" customFormat="1" x14ac:dyDescent="0.25">
      <c r="B43" s="499" t="s">
        <v>302</v>
      </c>
      <c r="C43" s="524" t="s">
        <v>27</v>
      </c>
      <c r="D43" s="501">
        <f t="shared" si="1"/>
        <v>221.23999999999995</v>
      </c>
      <c r="E43" s="502">
        <f>SUM(E44:E45)</f>
        <v>0</v>
      </c>
      <c r="F43" s="503">
        <f t="shared" si="28"/>
        <v>85.699999999999989</v>
      </c>
      <c r="G43" s="504">
        <f>SUM(G44:G45)</f>
        <v>73.239999999999995</v>
      </c>
      <c r="H43" s="505">
        <f>SUM(H44:H45)</f>
        <v>0</v>
      </c>
      <c r="I43" s="506">
        <f>SUM(I44:I45)</f>
        <v>12.46</v>
      </c>
      <c r="J43" s="503">
        <f t="shared" si="29"/>
        <v>135.53999999999996</v>
      </c>
      <c r="K43" s="504">
        <f t="shared" ref="K43:P43" si="32">SUM(K44:K45)</f>
        <v>91.589999999999989</v>
      </c>
      <c r="L43" s="505">
        <f t="shared" si="32"/>
        <v>42.379999999999995</v>
      </c>
      <c r="M43" s="507">
        <f t="shared" si="32"/>
        <v>1.57</v>
      </c>
      <c r="N43" s="502">
        <f t="shared" si="32"/>
        <v>0</v>
      </c>
      <c r="O43" s="508">
        <f t="shared" si="32"/>
        <v>0</v>
      </c>
      <c r="P43" s="503">
        <f t="shared" si="32"/>
        <v>0</v>
      </c>
    </row>
    <row r="44" spans="2:16" s="1" customFormat="1" ht="51.75" x14ac:dyDescent="0.25">
      <c r="B44" s="509" t="s">
        <v>304</v>
      </c>
      <c r="C44" s="525" t="s">
        <v>29</v>
      </c>
      <c r="D44" s="501">
        <f t="shared" si="1"/>
        <v>211.95999999999998</v>
      </c>
      <c r="E44" s="572">
        <v>0</v>
      </c>
      <c r="F44" s="503">
        <f t="shared" si="28"/>
        <v>85.699999999999989</v>
      </c>
      <c r="G44" s="309">
        <v>73.239999999999995</v>
      </c>
      <c r="H44" s="310">
        <v>0</v>
      </c>
      <c r="I44" s="573">
        <v>12.46</v>
      </c>
      <c r="J44" s="503">
        <f t="shared" si="29"/>
        <v>126.25999999999999</v>
      </c>
      <c r="K44" s="309">
        <v>83.46</v>
      </c>
      <c r="L44" s="310">
        <v>41.23</v>
      </c>
      <c r="M44" s="311">
        <v>1.57</v>
      </c>
      <c r="N44" s="572">
        <v>0</v>
      </c>
      <c r="O44" s="574">
        <v>0</v>
      </c>
      <c r="P44" s="575">
        <v>0</v>
      </c>
    </row>
    <row r="45" spans="2:16" s="1" customFormat="1" x14ac:dyDescent="0.25">
      <c r="B45" s="509" t="s">
        <v>305</v>
      </c>
      <c r="C45" s="525" t="s">
        <v>31</v>
      </c>
      <c r="D45" s="501">
        <f t="shared" si="1"/>
        <v>9.2800000000000011</v>
      </c>
      <c r="E45" s="572">
        <v>0</v>
      </c>
      <c r="F45" s="503">
        <f t="shared" si="28"/>
        <v>0</v>
      </c>
      <c r="G45" s="309">
        <v>0</v>
      </c>
      <c r="H45" s="310">
        <v>0</v>
      </c>
      <c r="I45" s="573">
        <v>0</v>
      </c>
      <c r="J45" s="503">
        <f t="shared" si="29"/>
        <v>9.2800000000000011</v>
      </c>
      <c r="K45" s="309">
        <v>8.1300000000000008</v>
      </c>
      <c r="L45" s="310">
        <v>1.1499999999999999</v>
      </c>
      <c r="M45" s="311">
        <v>0</v>
      </c>
      <c r="N45" s="572">
        <v>0</v>
      </c>
      <c r="O45" s="574">
        <v>0</v>
      </c>
      <c r="P45" s="575">
        <v>0</v>
      </c>
    </row>
    <row r="46" spans="2:16" s="1" customFormat="1" x14ac:dyDescent="0.25">
      <c r="B46" s="499" t="s">
        <v>307</v>
      </c>
      <c r="C46" s="524" t="s">
        <v>33</v>
      </c>
      <c r="D46" s="501">
        <f t="shared" si="1"/>
        <v>56.870000000000005</v>
      </c>
      <c r="E46" s="502">
        <f>SUM(E47:E48)</f>
        <v>55.34</v>
      </c>
      <c r="F46" s="503">
        <f t="shared" si="28"/>
        <v>0</v>
      </c>
      <c r="G46" s="504">
        <f>SUM(G47:G48)</f>
        <v>0</v>
      </c>
      <c r="H46" s="505">
        <f>SUM(H47:H48)</f>
        <v>0</v>
      </c>
      <c r="I46" s="506">
        <f>SUM(I47:I48)</f>
        <v>0</v>
      </c>
      <c r="J46" s="503">
        <f t="shared" si="29"/>
        <v>1.5299999999999998</v>
      </c>
      <c r="K46" s="504">
        <f t="shared" ref="K46:P46" si="33">SUM(K47:K48)</f>
        <v>0</v>
      </c>
      <c r="L46" s="505">
        <f t="shared" si="33"/>
        <v>1.5299999999999998</v>
      </c>
      <c r="M46" s="507">
        <f t="shared" si="33"/>
        <v>0</v>
      </c>
      <c r="N46" s="502">
        <f t="shared" si="33"/>
        <v>0</v>
      </c>
      <c r="O46" s="508">
        <f t="shared" si="33"/>
        <v>0</v>
      </c>
      <c r="P46" s="503">
        <f t="shared" si="33"/>
        <v>0</v>
      </c>
    </row>
    <row r="47" spans="2:16" s="1" customFormat="1" x14ac:dyDescent="0.25">
      <c r="B47" s="509" t="s">
        <v>308</v>
      </c>
      <c r="C47" s="525" t="s">
        <v>600</v>
      </c>
      <c r="D47" s="501">
        <f t="shared" si="1"/>
        <v>56.040000000000006</v>
      </c>
      <c r="E47" s="576">
        <v>55.34</v>
      </c>
      <c r="F47" s="527">
        <f t="shared" si="28"/>
        <v>0</v>
      </c>
      <c r="G47" s="577">
        <v>0</v>
      </c>
      <c r="H47" s="578">
        <v>0</v>
      </c>
      <c r="I47" s="579">
        <v>0</v>
      </c>
      <c r="J47" s="527">
        <f t="shared" si="29"/>
        <v>0.7</v>
      </c>
      <c r="K47" s="577">
        <v>0</v>
      </c>
      <c r="L47" s="578">
        <v>0.7</v>
      </c>
      <c r="M47" s="580">
        <v>0</v>
      </c>
      <c r="N47" s="576">
        <v>0</v>
      </c>
      <c r="O47" s="574">
        <v>0</v>
      </c>
      <c r="P47" s="575">
        <v>0</v>
      </c>
    </row>
    <row r="48" spans="2:16" s="1" customFormat="1" ht="26.25" x14ac:dyDescent="0.25">
      <c r="B48" s="526" t="s">
        <v>308</v>
      </c>
      <c r="C48" s="581" t="s">
        <v>601</v>
      </c>
      <c r="D48" s="501">
        <f t="shared" si="1"/>
        <v>0.83</v>
      </c>
      <c r="E48" s="576">
        <v>0</v>
      </c>
      <c r="F48" s="527">
        <f t="shared" si="28"/>
        <v>0</v>
      </c>
      <c r="G48" s="577">
        <v>0</v>
      </c>
      <c r="H48" s="578">
        <v>0</v>
      </c>
      <c r="I48" s="579">
        <v>0</v>
      </c>
      <c r="J48" s="527">
        <f t="shared" si="29"/>
        <v>0.83</v>
      </c>
      <c r="K48" s="577">
        <v>0</v>
      </c>
      <c r="L48" s="578">
        <v>0.83</v>
      </c>
      <c r="M48" s="580">
        <v>0</v>
      </c>
      <c r="N48" s="576">
        <v>0</v>
      </c>
      <c r="O48" s="574">
        <v>0</v>
      </c>
      <c r="P48" s="575">
        <v>0</v>
      </c>
    </row>
    <row r="49" spans="2:17" s="1" customFormat="1" x14ac:dyDescent="0.25">
      <c r="B49" s="499" t="s">
        <v>312</v>
      </c>
      <c r="C49" s="536" t="s">
        <v>39</v>
      </c>
      <c r="D49" s="537">
        <f t="shared" si="1"/>
        <v>47.230000000000004</v>
      </c>
      <c r="E49" s="538">
        <f>SUM(E50:E51)</f>
        <v>3.35</v>
      </c>
      <c r="F49" s="539">
        <f t="shared" si="28"/>
        <v>0</v>
      </c>
      <c r="G49" s="540">
        <f>SUM(G50:G51)</f>
        <v>0</v>
      </c>
      <c r="H49" s="541">
        <f>SUM(H50:H51)</f>
        <v>0</v>
      </c>
      <c r="I49" s="542">
        <f>SUM(I50:I51)</f>
        <v>0</v>
      </c>
      <c r="J49" s="539">
        <f t="shared" si="29"/>
        <v>41.88</v>
      </c>
      <c r="K49" s="540">
        <f t="shared" ref="K49:P49" si="34">SUM(K50:K51)</f>
        <v>41.88</v>
      </c>
      <c r="L49" s="541">
        <f t="shared" si="34"/>
        <v>0</v>
      </c>
      <c r="M49" s="582">
        <f t="shared" si="34"/>
        <v>0</v>
      </c>
      <c r="N49" s="538">
        <f t="shared" si="34"/>
        <v>0</v>
      </c>
      <c r="O49" s="583">
        <f t="shared" si="34"/>
        <v>0</v>
      </c>
      <c r="P49" s="539">
        <f t="shared" si="34"/>
        <v>2</v>
      </c>
    </row>
    <row r="50" spans="2:17" s="1" customFormat="1" x14ac:dyDescent="0.25">
      <c r="B50" s="544" t="s">
        <v>314</v>
      </c>
      <c r="C50" s="545" t="s">
        <v>41</v>
      </c>
      <c r="D50" s="546">
        <f t="shared" si="1"/>
        <v>3.35</v>
      </c>
      <c r="E50" s="584">
        <v>3.35</v>
      </c>
      <c r="F50" s="547">
        <f t="shared" si="28"/>
        <v>0</v>
      </c>
      <c r="G50" s="585">
        <v>0</v>
      </c>
      <c r="H50" s="586">
        <v>0</v>
      </c>
      <c r="I50" s="587">
        <v>0</v>
      </c>
      <c r="J50" s="547">
        <f t="shared" si="29"/>
        <v>0</v>
      </c>
      <c r="K50" s="585">
        <v>0</v>
      </c>
      <c r="L50" s="586">
        <v>0</v>
      </c>
      <c r="M50" s="588">
        <v>0</v>
      </c>
      <c r="N50" s="584">
        <v>0</v>
      </c>
      <c r="O50" s="574">
        <v>0</v>
      </c>
      <c r="P50" s="575">
        <v>0</v>
      </c>
    </row>
    <row r="51" spans="2:17" s="1" customFormat="1" ht="26.25" x14ac:dyDescent="0.25">
      <c r="B51" s="544" t="s">
        <v>316</v>
      </c>
      <c r="C51" s="552" t="s">
        <v>43</v>
      </c>
      <c r="D51" s="537">
        <f t="shared" si="1"/>
        <v>43.88</v>
      </c>
      <c r="E51" s="589">
        <v>0</v>
      </c>
      <c r="F51" s="539">
        <f t="shared" si="28"/>
        <v>0</v>
      </c>
      <c r="G51" s="590">
        <v>0</v>
      </c>
      <c r="H51" s="591">
        <v>0</v>
      </c>
      <c r="I51" s="592">
        <v>0</v>
      </c>
      <c r="J51" s="539">
        <f t="shared" si="29"/>
        <v>41.88</v>
      </c>
      <c r="K51" s="590">
        <v>41.88</v>
      </c>
      <c r="L51" s="591">
        <v>0</v>
      </c>
      <c r="M51" s="593">
        <v>0</v>
      </c>
      <c r="N51" s="589">
        <v>0</v>
      </c>
      <c r="O51" s="574">
        <v>0</v>
      </c>
      <c r="P51" s="575">
        <v>2</v>
      </c>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c r="M55" s="598">
        <v>0</v>
      </c>
      <c r="N55" s="599">
        <v>0</v>
      </c>
      <c r="O55" s="600">
        <v>0</v>
      </c>
      <c r="P55" s="601">
        <v>0</v>
      </c>
    </row>
    <row r="56" spans="2:17" s="1" customFormat="1" ht="16.5" thickTop="1" thickBot="1" x14ac:dyDescent="0.3">
      <c r="B56" s="489" t="s">
        <v>59</v>
      </c>
      <c r="C56" s="490" t="s">
        <v>612</v>
      </c>
      <c r="D56" s="491">
        <f t="shared" ref="D56:P56" si="36">D57+D61+D66+D69+D72+D75</f>
        <v>106.30000000000001</v>
      </c>
      <c r="E56" s="492">
        <f t="shared" si="36"/>
        <v>1.0629999999999999</v>
      </c>
      <c r="F56" s="493">
        <f t="shared" si="36"/>
        <v>36.141999999999996</v>
      </c>
      <c r="G56" s="494">
        <f t="shared" si="36"/>
        <v>3.1890000000000001</v>
      </c>
      <c r="H56" s="495">
        <f t="shared" si="36"/>
        <v>1.0629999999999999</v>
      </c>
      <c r="I56" s="496">
        <f t="shared" si="36"/>
        <v>31.89</v>
      </c>
      <c r="J56" s="493">
        <f t="shared" si="36"/>
        <v>69.094999999999985</v>
      </c>
      <c r="K56" s="494">
        <f t="shared" si="36"/>
        <v>42.52</v>
      </c>
      <c r="L56" s="495">
        <f t="shared" si="36"/>
        <v>25.512</v>
      </c>
      <c r="M56" s="497">
        <f t="shared" si="36"/>
        <v>1.0629999999999999</v>
      </c>
      <c r="N56" s="492">
        <f t="shared" si="36"/>
        <v>0</v>
      </c>
      <c r="O56" s="498">
        <f t="shared" si="36"/>
        <v>0</v>
      </c>
      <c r="P56" s="493">
        <f t="shared" si="36"/>
        <v>0</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53.35</v>
      </c>
      <c r="E61" s="502">
        <f>SUM(E62:E65)</f>
        <v>0.53349999999999997</v>
      </c>
      <c r="F61" s="503">
        <f t="shared" si="37"/>
        <v>18.138999999999999</v>
      </c>
      <c r="G61" s="504">
        <f>SUM(G62:G65)</f>
        <v>1.6005</v>
      </c>
      <c r="H61" s="505">
        <f>SUM(H62:H65)</f>
        <v>0.53349999999999997</v>
      </c>
      <c r="I61" s="506">
        <f>SUM(I62:I65)</f>
        <v>16.004999999999999</v>
      </c>
      <c r="J61" s="503">
        <f t="shared" si="38"/>
        <v>34.677499999999995</v>
      </c>
      <c r="K61" s="504">
        <f t="shared" ref="K61:P61" si="42">SUM(K62:K65)</f>
        <v>21.34</v>
      </c>
      <c r="L61" s="505">
        <f t="shared" si="42"/>
        <v>12.804</v>
      </c>
      <c r="M61" s="507">
        <f t="shared" si="42"/>
        <v>0.53349999999999997</v>
      </c>
      <c r="N61" s="502">
        <f t="shared" si="42"/>
        <v>0</v>
      </c>
      <c r="O61" s="508">
        <f t="shared" si="42"/>
        <v>0</v>
      </c>
      <c r="P61" s="503">
        <f t="shared" si="42"/>
        <v>0</v>
      </c>
    </row>
    <row r="62" spans="2:17" s="1" customFormat="1" x14ac:dyDescent="0.25">
      <c r="B62" s="509" t="s">
        <v>154</v>
      </c>
      <c r="C62" s="510" t="s">
        <v>17</v>
      </c>
      <c r="D62" s="603">
        <v>53.35</v>
      </c>
      <c r="E62" s="604">
        <f>IFERROR($D62*E83/100, 0)</f>
        <v>0.53349999999999997</v>
      </c>
      <c r="F62" s="519">
        <f t="shared" si="37"/>
        <v>18.138999999999999</v>
      </c>
      <c r="G62" s="512">
        <f t="shared" ref="G62:I65" si="43">IFERROR($D62*G83/100, 0)</f>
        <v>1.6005</v>
      </c>
      <c r="H62" s="513">
        <f t="shared" si="43"/>
        <v>0.53349999999999997</v>
      </c>
      <c r="I62" s="605">
        <f t="shared" si="43"/>
        <v>16.004999999999999</v>
      </c>
      <c r="J62" s="519">
        <f t="shared" si="38"/>
        <v>34.677499999999995</v>
      </c>
      <c r="K62" s="512">
        <f t="shared" ref="K62:P65" si="44">IFERROR($D62*K83/100, 0)</f>
        <v>21.34</v>
      </c>
      <c r="L62" s="513">
        <f t="shared" si="44"/>
        <v>12.804</v>
      </c>
      <c r="M62" s="606">
        <f t="shared" si="44"/>
        <v>0.53349999999999997</v>
      </c>
      <c r="N62" s="604">
        <f t="shared" si="44"/>
        <v>0</v>
      </c>
      <c r="O62" s="607">
        <f t="shared" si="44"/>
        <v>0</v>
      </c>
      <c r="P62" s="519">
        <f t="shared" si="44"/>
        <v>0</v>
      </c>
    </row>
    <row r="63" spans="2:17" s="1" customFormat="1" x14ac:dyDescent="0.25">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0</v>
      </c>
      <c r="E65" s="604">
        <f>IFERROR($D65*E86/100, 0)</f>
        <v>0</v>
      </c>
      <c r="F65" s="519">
        <f t="shared" si="37"/>
        <v>0</v>
      </c>
      <c r="G65" s="512">
        <f t="shared" si="43"/>
        <v>0</v>
      </c>
      <c r="H65" s="513">
        <f t="shared" si="43"/>
        <v>0</v>
      </c>
      <c r="I65" s="605">
        <f t="shared" si="43"/>
        <v>0</v>
      </c>
      <c r="J65" s="519">
        <f t="shared" si="38"/>
        <v>0</v>
      </c>
      <c r="K65" s="512">
        <f t="shared" si="44"/>
        <v>0</v>
      </c>
      <c r="L65" s="513">
        <f t="shared" si="44"/>
        <v>0</v>
      </c>
      <c r="M65" s="606">
        <f t="shared" si="44"/>
        <v>0</v>
      </c>
      <c r="N65" s="604">
        <f t="shared" si="44"/>
        <v>0</v>
      </c>
      <c r="O65" s="607">
        <f t="shared" si="44"/>
        <v>0</v>
      </c>
      <c r="P65" s="519">
        <f t="shared" si="44"/>
        <v>0</v>
      </c>
    </row>
    <row r="66" spans="2:16" s="1" customFormat="1" x14ac:dyDescent="0.25">
      <c r="B66" s="499" t="s">
        <v>160</v>
      </c>
      <c r="C66" s="524" t="s">
        <v>27</v>
      </c>
      <c r="D66" s="501">
        <f>D67+D68</f>
        <v>17.86</v>
      </c>
      <c r="E66" s="502">
        <f>E67+E68</f>
        <v>0.17859999999999998</v>
      </c>
      <c r="F66" s="503">
        <f t="shared" si="37"/>
        <v>6.0724</v>
      </c>
      <c r="G66" s="504">
        <f>G67+G68</f>
        <v>0.53579999999999994</v>
      </c>
      <c r="H66" s="505">
        <f>H67+H68</f>
        <v>0.17859999999999998</v>
      </c>
      <c r="I66" s="506">
        <f>I67+I68</f>
        <v>5.3579999999999997</v>
      </c>
      <c r="J66" s="503">
        <f t="shared" si="38"/>
        <v>11.608999999999998</v>
      </c>
      <c r="K66" s="504">
        <f t="shared" ref="K66:P66" si="45">K67+K68</f>
        <v>7.1440000000000001</v>
      </c>
      <c r="L66" s="505">
        <f t="shared" si="45"/>
        <v>4.2863999999999995</v>
      </c>
      <c r="M66" s="507">
        <f t="shared" si="45"/>
        <v>0.17859999999999998</v>
      </c>
      <c r="N66" s="502">
        <f t="shared" si="45"/>
        <v>0</v>
      </c>
      <c r="O66" s="508">
        <f t="shared" si="45"/>
        <v>0</v>
      </c>
      <c r="P66" s="503">
        <f t="shared" si="45"/>
        <v>0</v>
      </c>
    </row>
    <row r="67" spans="2:16" s="1" customFormat="1" ht="51.75" x14ac:dyDescent="0.25">
      <c r="B67" s="509" t="s">
        <v>412</v>
      </c>
      <c r="C67" s="525" t="s">
        <v>29</v>
      </c>
      <c r="D67" s="603">
        <v>17.86</v>
      </c>
      <c r="E67" s="604">
        <f>IFERROR($D67*E87/100, 0)</f>
        <v>0.17859999999999998</v>
      </c>
      <c r="F67" s="519">
        <f t="shared" si="37"/>
        <v>6.0724</v>
      </c>
      <c r="G67" s="512">
        <f t="shared" ref="G67:I68" si="46">IFERROR($D67*G87/100, 0)</f>
        <v>0.53579999999999994</v>
      </c>
      <c r="H67" s="513">
        <f t="shared" si="46"/>
        <v>0.17859999999999998</v>
      </c>
      <c r="I67" s="605">
        <f t="shared" si="46"/>
        <v>5.3579999999999997</v>
      </c>
      <c r="J67" s="519">
        <f t="shared" si="38"/>
        <v>11.608999999999998</v>
      </c>
      <c r="K67" s="512">
        <f t="shared" ref="K67:P68" si="47">IFERROR($D67*K87/100, 0)</f>
        <v>7.1440000000000001</v>
      </c>
      <c r="L67" s="513">
        <f t="shared" si="47"/>
        <v>4.2863999999999995</v>
      </c>
      <c r="M67" s="606">
        <f t="shared" si="47"/>
        <v>0.17859999999999998</v>
      </c>
      <c r="N67" s="604">
        <f t="shared" si="47"/>
        <v>0</v>
      </c>
      <c r="O67" s="607">
        <f t="shared" si="47"/>
        <v>0</v>
      </c>
      <c r="P67" s="519">
        <f t="shared" si="47"/>
        <v>0</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7.05</v>
      </c>
      <c r="E69" s="502">
        <f>E70+E71</f>
        <v>7.0499999999999993E-2</v>
      </c>
      <c r="F69" s="503">
        <f t="shared" si="37"/>
        <v>2.3970000000000002</v>
      </c>
      <c r="G69" s="504">
        <f>G70+G71</f>
        <v>0.21149999999999999</v>
      </c>
      <c r="H69" s="505">
        <f>H70+H71</f>
        <v>7.0499999999999993E-2</v>
      </c>
      <c r="I69" s="506">
        <f>I70+I71</f>
        <v>2.1150000000000002</v>
      </c>
      <c r="J69" s="503">
        <f t="shared" si="38"/>
        <v>4.5824999999999996</v>
      </c>
      <c r="K69" s="504">
        <f t="shared" ref="K69:P69" si="48">K70+K71</f>
        <v>2.82</v>
      </c>
      <c r="L69" s="505">
        <f t="shared" si="48"/>
        <v>1.6919999999999999</v>
      </c>
      <c r="M69" s="507">
        <f t="shared" si="48"/>
        <v>7.0499999999999993E-2</v>
      </c>
      <c r="N69" s="502">
        <f t="shared" si="48"/>
        <v>0</v>
      </c>
      <c r="O69" s="508">
        <f t="shared" si="48"/>
        <v>0</v>
      </c>
      <c r="P69" s="503">
        <f t="shared" si="48"/>
        <v>0</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7.05</v>
      </c>
      <c r="E71" s="604">
        <f>IFERROR($D71*E90/100, 0)</f>
        <v>7.0499999999999993E-2</v>
      </c>
      <c r="F71" s="519">
        <f t="shared" si="37"/>
        <v>2.3970000000000002</v>
      </c>
      <c r="G71" s="512">
        <f t="shared" si="49"/>
        <v>0.21149999999999999</v>
      </c>
      <c r="H71" s="513">
        <f t="shared" si="49"/>
        <v>7.0499999999999993E-2</v>
      </c>
      <c r="I71" s="605">
        <f t="shared" si="49"/>
        <v>2.1150000000000002</v>
      </c>
      <c r="J71" s="519">
        <f t="shared" si="38"/>
        <v>4.5824999999999996</v>
      </c>
      <c r="K71" s="512">
        <f t="shared" si="50"/>
        <v>2.82</v>
      </c>
      <c r="L71" s="513">
        <f t="shared" si="50"/>
        <v>1.6919999999999999</v>
      </c>
      <c r="M71" s="606">
        <f t="shared" si="50"/>
        <v>7.0499999999999993E-2</v>
      </c>
      <c r="N71" s="604">
        <f t="shared" si="50"/>
        <v>0</v>
      </c>
      <c r="O71" s="607">
        <f t="shared" si="50"/>
        <v>0</v>
      </c>
      <c r="P71" s="519">
        <f t="shared" si="50"/>
        <v>0</v>
      </c>
    </row>
    <row r="72" spans="2:16" s="1" customFormat="1" x14ac:dyDescent="0.25">
      <c r="B72" s="499" t="s">
        <v>418</v>
      </c>
      <c r="C72" s="536" t="s">
        <v>39</v>
      </c>
      <c r="D72" s="537">
        <f>D73+D74</f>
        <v>28.04</v>
      </c>
      <c r="E72" s="538">
        <f>E73+E74</f>
        <v>0.28039999999999998</v>
      </c>
      <c r="F72" s="539">
        <f t="shared" si="37"/>
        <v>9.5335999999999999</v>
      </c>
      <c r="G72" s="540">
        <f>G73+G74</f>
        <v>0.84119999999999995</v>
      </c>
      <c r="H72" s="541">
        <f>H73+H74</f>
        <v>0.28039999999999998</v>
      </c>
      <c r="I72" s="542">
        <f>I73+I74</f>
        <v>8.4120000000000008</v>
      </c>
      <c r="J72" s="539">
        <f t="shared" si="38"/>
        <v>18.225999999999999</v>
      </c>
      <c r="K72" s="540">
        <f t="shared" ref="K72:P72" si="51">K73+K74</f>
        <v>11.216000000000001</v>
      </c>
      <c r="L72" s="541">
        <f t="shared" si="51"/>
        <v>6.7295999999999996</v>
      </c>
      <c r="M72" s="582">
        <f t="shared" si="51"/>
        <v>0.28039999999999998</v>
      </c>
      <c r="N72" s="538">
        <f t="shared" si="51"/>
        <v>0</v>
      </c>
      <c r="O72" s="583">
        <f t="shared" si="51"/>
        <v>0</v>
      </c>
      <c r="P72" s="539">
        <f t="shared" si="51"/>
        <v>0</v>
      </c>
    </row>
    <row r="73" spans="2:16" s="1" customFormat="1" x14ac:dyDescent="0.25">
      <c r="B73" s="544" t="s">
        <v>616</v>
      </c>
      <c r="C73" s="545" t="s">
        <v>41</v>
      </c>
      <c r="D73" s="608">
        <v>10.53</v>
      </c>
      <c r="E73" s="604">
        <f>IFERROR($D73*E91/100, 0)</f>
        <v>0.10529999999999999</v>
      </c>
      <c r="F73" s="519">
        <f t="shared" si="37"/>
        <v>3.5801999999999996</v>
      </c>
      <c r="G73" s="512">
        <f t="shared" ref="G73:I74" si="52">IFERROR($D73*G91/100, 0)</f>
        <v>0.31589999999999996</v>
      </c>
      <c r="H73" s="513">
        <f t="shared" si="52"/>
        <v>0.10529999999999999</v>
      </c>
      <c r="I73" s="605">
        <f t="shared" si="52"/>
        <v>3.1589999999999998</v>
      </c>
      <c r="J73" s="519">
        <f t="shared" si="38"/>
        <v>6.8444999999999991</v>
      </c>
      <c r="K73" s="512">
        <f t="shared" ref="K73:P74" si="53">IFERROR($D73*K91/100, 0)</f>
        <v>4.2119999999999997</v>
      </c>
      <c r="L73" s="513">
        <f t="shared" si="53"/>
        <v>2.5271999999999997</v>
      </c>
      <c r="M73" s="606">
        <f t="shared" si="53"/>
        <v>0.10529999999999999</v>
      </c>
      <c r="N73" s="604">
        <f t="shared" si="53"/>
        <v>0</v>
      </c>
      <c r="O73" s="607">
        <f t="shared" si="53"/>
        <v>0</v>
      </c>
      <c r="P73" s="519">
        <f t="shared" si="53"/>
        <v>0</v>
      </c>
    </row>
    <row r="74" spans="2:16" s="1" customFormat="1" ht="26.25" x14ac:dyDescent="0.25">
      <c r="B74" s="544" t="s">
        <v>617</v>
      </c>
      <c r="C74" s="552" t="s">
        <v>43</v>
      </c>
      <c r="D74" s="609">
        <v>17.510000000000002</v>
      </c>
      <c r="E74" s="604">
        <f>IFERROR($D74*E92/100, 0)</f>
        <v>0.17510000000000001</v>
      </c>
      <c r="F74" s="519">
        <f t="shared" si="37"/>
        <v>5.9534000000000011</v>
      </c>
      <c r="G74" s="512">
        <f t="shared" si="52"/>
        <v>0.52529999999999999</v>
      </c>
      <c r="H74" s="513">
        <f t="shared" si="52"/>
        <v>0.17510000000000001</v>
      </c>
      <c r="I74" s="605">
        <f t="shared" si="52"/>
        <v>5.253000000000001</v>
      </c>
      <c r="J74" s="519">
        <f t="shared" si="38"/>
        <v>11.381500000000003</v>
      </c>
      <c r="K74" s="512">
        <f t="shared" si="53"/>
        <v>7.0040000000000013</v>
      </c>
      <c r="L74" s="513">
        <f t="shared" si="53"/>
        <v>4.2023999999999999</v>
      </c>
      <c r="M74" s="606">
        <f t="shared" si="53"/>
        <v>0.17510000000000001</v>
      </c>
      <c r="N74" s="604">
        <f t="shared" si="53"/>
        <v>0</v>
      </c>
      <c r="O74" s="607">
        <f t="shared" si="53"/>
        <v>0</v>
      </c>
      <c r="P74" s="519">
        <f t="shared" si="53"/>
        <v>0</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100</v>
      </c>
      <c r="E80" s="632">
        <v>1</v>
      </c>
      <c r="F80" s="633">
        <f t="shared" ref="F80:F95" si="59">SUM(G80:I80)</f>
        <v>34</v>
      </c>
      <c r="G80" s="634">
        <v>3</v>
      </c>
      <c r="H80" s="635">
        <v>1</v>
      </c>
      <c r="I80" s="636">
        <v>30</v>
      </c>
      <c r="J80" s="633">
        <f t="shared" ref="J80:J95" si="60">SUM(K80:M80)</f>
        <v>65</v>
      </c>
      <c r="K80" s="634">
        <v>40</v>
      </c>
      <c r="L80" s="635">
        <v>24</v>
      </c>
      <c r="M80" s="637">
        <v>1</v>
      </c>
      <c r="N80" s="638">
        <v>0</v>
      </c>
      <c r="O80" s="639">
        <v>0</v>
      </c>
      <c r="P80" s="640">
        <v>0</v>
      </c>
    </row>
    <row r="81" spans="2:17" s="1" customFormat="1" x14ac:dyDescent="0.25">
      <c r="B81" s="641" t="s">
        <v>69</v>
      </c>
      <c r="C81" s="642" t="s">
        <v>621</v>
      </c>
      <c r="D81" s="643">
        <f t="shared" si="58"/>
        <v>100</v>
      </c>
      <c r="E81" s="644">
        <v>1</v>
      </c>
      <c r="F81" s="645">
        <f t="shared" si="59"/>
        <v>34</v>
      </c>
      <c r="G81" s="646">
        <v>3</v>
      </c>
      <c r="H81" s="647">
        <v>1</v>
      </c>
      <c r="I81" s="648">
        <v>30</v>
      </c>
      <c r="J81" s="645">
        <f t="shared" si="60"/>
        <v>65</v>
      </c>
      <c r="K81" s="646">
        <v>40</v>
      </c>
      <c r="L81" s="647">
        <v>24</v>
      </c>
      <c r="M81" s="649">
        <v>1</v>
      </c>
      <c r="N81" s="650">
        <v>0</v>
      </c>
      <c r="O81" s="651">
        <v>0</v>
      </c>
      <c r="P81" s="652">
        <v>0</v>
      </c>
    </row>
    <row r="82" spans="2:17" s="1" customFormat="1" x14ac:dyDescent="0.25">
      <c r="B82" s="641" t="s">
        <v>71</v>
      </c>
      <c r="C82" s="642" t="s">
        <v>622</v>
      </c>
      <c r="D82" s="643">
        <f t="shared" si="58"/>
        <v>100</v>
      </c>
      <c r="E82" s="644">
        <v>1</v>
      </c>
      <c r="F82" s="645">
        <f t="shared" si="59"/>
        <v>34</v>
      </c>
      <c r="G82" s="646">
        <v>3</v>
      </c>
      <c r="H82" s="647">
        <v>1</v>
      </c>
      <c r="I82" s="648">
        <v>30</v>
      </c>
      <c r="J82" s="645">
        <f t="shared" si="60"/>
        <v>65</v>
      </c>
      <c r="K82" s="646">
        <v>40</v>
      </c>
      <c r="L82" s="647">
        <v>24</v>
      </c>
      <c r="M82" s="649">
        <v>1</v>
      </c>
      <c r="N82" s="650">
        <v>0</v>
      </c>
      <c r="O82" s="651">
        <v>0</v>
      </c>
      <c r="P82" s="652">
        <v>0</v>
      </c>
    </row>
    <row r="83" spans="2:17" s="1" customFormat="1" x14ac:dyDescent="0.25">
      <c r="B83" s="653" t="s">
        <v>73</v>
      </c>
      <c r="C83" s="642" t="s">
        <v>623</v>
      </c>
      <c r="D83" s="643">
        <f t="shared" si="58"/>
        <v>100</v>
      </c>
      <c r="E83" s="644">
        <v>1</v>
      </c>
      <c r="F83" s="645">
        <f t="shared" si="59"/>
        <v>34</v>
      </c>
      <c r="G83" s="646">
        <v>3</v>
      </c>
      <c r="H83" s="647">
        <v>1</v>
      </c>
      <c r="I83" s="648">
        <v>30</v>
      </c>
      <c r="J83" s="645">
        <f t="shared" si="60"/>
        <v>65</v>
      </c>
      <c r="K83" s="646">
        <v>40</v>
      </c>
      <c r="L83" s="647">
        <v>24</v>
      </c>
      <c r="M83" s="649">
        <v>1</v>
      </c>
      <c r="N83" s="650">
        <v>0</v>
      </c>
      <c r="O83" s="651">
        <v>0</v>
      </c>
      <c r="P83" s="652">
        <v>0</v>
      </c>
    </row>
    <row r="84" spans="2:17" s="1" customFormat="1" x14ac:dyDescent="0.25">
      <c r="B84" s="641" t="s">
        <v>75</v>
      </c>
      <c r="C84" s="642" t="s">
        <v>624</v>
      </c>
      <c r="D84" s="643">
        <f t="shared" si="58"/>
        <v>100</v>
      </c>
      <c r="E84" s="644">
        <v>1</v>
      </c>
      <c r="F84" s="645">
        <f t="shared" si="59"/>
        <v>34</v>
      </c>
      <c r="G84" s="646">
        <v>3</v>
      </c>
      <c r="H84" s="647">
        <v>1</v>
      </c>
      <c r="I84" s="648">
        <v>30</v>
      </c>
      <c r="J84" s="645">
        <f t="shared" si="60"/>
        <v>65</v>
      </c>
      <c r="K84" s="646">
        <v>40</v>
      </c>
      <c r="L84" s="647">
        <v>24</v>
      </c>
      <c r="M84" s="649">
        <v>1</v>
      </c>
      <c r="N84" s="650">
        <v>0</v>
      </c>
      <c r="O84" s="651">
        <v>0</v>
      </c>
      <c r="P84" s="652">
        <v>0</v>
      </c>
    </row>
    <row r="85" spans="2:17" s="1" customFormat="1" x14ac:dyDescent="0.25">
      <c r="B85" s="641" t="s">
        <v>466</v>
      </c>
      <c r="C85" s="642" t="s">
        <v>625</v>
      </c>
      <c r="D85" s="643">
        <f t="shared" si="58"/>
        <v>100</v>
      </c>
      <c r="E85" s="644">
        <v>1</v>
      </c>
      <c r="F85" s="645">
        <f t="shared" si="59"/>
        <v>34</v>
      </c>
      <c r="G85" s="646">
        <v>3</v>
      </c>
      <c r="H85" s="647">
        <v>1</v>
      </c>
      <c r="I85" s="648">
        <v>30</v>
      </c>
      <c r="J85" s="645">
        <f t="shared" si="60"/>
        <v>65</v>
      </c>
      <c r="K85" s="646">
        <v>40</v>
      </c>
      <c r="L85" s="647">
        <v>24</v>
      </c>
      <c r="M85" s="649">
        <v>1</v>
      </c>
      <c r="N85" s="650">
        <v>0</v>
      </c>
      <c r="O85" s="651">
        <v>0</v>
      </c>
      <c r="P85" s="652">
        <v>0</v>
      </c>
    </row>
    <row r="86" spans="2:17" s="1" customFormat="1" x14ac:dyDescent="0.25">
      <c r="B86" s="641" t="s">
        <v>470</v>
      </c>
      <c r="C86" s="642" t="s">
        <v>626</v>
      </c>
      <c r="D86" s="643">
        <f t="shared" si="58"/>
        <v>100</v>
      </c>
      <c r="E86" s="644">
        <v>1</v>
      </c>
      <c r="F86" s="645">
        <f t="shared" si="59"/>
        <v>34</v>
      </c>
      <c r="G86" s="646">
        <v>3</v>
      </c>
      <c r="H86" s="647">
        <v>1</v>
      </c>
      <c r="I86" s="648">
        <v>30</v>
      </c>
      <c r="J86" s="645">
        <f t="shared" si="60"/>
        <v>65</v>
      </c>
      <c r="K86" s="646">
        <v>40</v>
      </c>
      <c r="L86" s="647">
        <v>24</v>
      </c>
      <c r="M86" s="649">
        <v>1</v>
      </c>
      <c r="N86" s="650">
        <v>0</v>
      </c>
      <c r="O86" s="651">
        <v>0</v>
      </c>
      <c r="P86" s="652">
        <v>0</v>
      </c>
    </row>
    <row r="87" spans="2:17" s="1" customFormat="1" x14ac:dyDescent="0.25">
      <c r="B87" s="653" t="s">
        <v>474</v>
      </c>
      <c r="C87" s="642" t="s">
        <v>627</v>
      </c>
      <c r="D87" s="643">
        <f t="shared" si="58"/>
        <v>100</v>
      </c>
      <c r="E87" s="644">
        <v>1</v>
      </c>
      <c r="F87" s="645">
        <f t="shared" si="59"/>
        <v>34</v>
      </c>
      <c r="G87" s="646">
        <v>3</v>
      </c>
      <c r="H87" s="647">
        <v>1</v>
      </c>
      <c r="I87" s="648">
        <v>30</v>
      </c>
      <c r="J87" s="645">
        <f t="shared" si="60"/>
        <v>65</v>
      </c>
      <c r="K87" s="646">
        <v>40</v>
      </c>
      <c r="L87" s="647">
        <v>24</v>
      </c>
      <c r="M87" s="649">
        <v>1</v>
      </c>
      <c r="N87" s="650">
        <v>0</v>
      </c>
      <c r="O87" s="651">
        <v>0</v>
      </c>
      <c r="P87" s="652">
        <v>0</v>
      </c>
    </row>
    <row r="88" spans="2:17" s="1" customFormat="1" x14ac:dyDescent="0.25">
      <c r="B88" s="653" t="s">
        <v>478</v>
      </c>
      <c r="C88" s="642" t="s">
        <v>628</v>
      </c>
      <c r="D88" s="643">
        <f t="shared" si="58"/>
        <v>100</v>
      </c>
      <c r="E88" s="644">
        <v>1</v>
      </c>
      <c r="F88" s="645">
        <f t="shared" si="59"/>
        <v>34</v>
      </c>
      <c r="G88" s="646">
        <v>3</v>
      </c>
      <c r="H88" s="647">
        <v>1</v>
      </c>
      <c r="I88" s="648">
        <v>30</v>
      </c>
      <c r="J88" s="645">
        <f t="shared" si="60"/>
        <v>65</v>
      </c>
      <c r="K88" s="646">
        <v>40</v>
      </c>
      <c r="L88" s="647">
        <v>24</v>
      </c>
      <c r="M88" s="649">
        <v>1</v>
      </c>
      <c r="N88" s="650">
        <v>0</v>
      </c>
      <c r="O88" s="651">
        <v>0</v>
      </c>
      <c r="P88" s="652">
        <v>0</v>
      </c>
    </row>
    <row r="89" spans="2:17" s="1" customFormat="1" x14ac:dyDescent="0.25">
      <c r="B89" s="653" t="s">
        <v>494</v>
      </c>
      <c r="C89" s="642" t="s">
        <v>629</v>
      </c>
      <c r="D89" s="643">
        <f t="shared" si="58"/>
        <v>100</v>
      </c>
      <c r="E89" s="644">
        <v>1</v>
      </c>
      <c r="F89" s="645">
        <f t="shared" si="59"/>
        <v>34</v>
      </c>
      <c r="G89" s="646">
        <v>3</v>
      </c>
      <c r="H89" s="647">
        <v>1</v>
      </c>
      <c r="I89" s="648">
        <v>30</v>
      </c>
      <c r="J89" s="645">
        <f t="shared" si="60"/>
        <v>65</v>
      </c>
      <c r="K89" s="646">
        <v>40</v>
      </c>
      <c r="L89" s="647">
        <v>24</v>
      </c>
      <c r="M89" s="649">
        <v>1</v>
      </c>
      <c r="N89" s="650">
        <v>0</v>
      </c>
      <c r="O89" s="651">
        <v>0</v>
      </c>
      <c r="P89" s="652">
        <v>0</v>
      </c>
    </row>
    <row r="90" spans="2:17" s="1" customFormat="1" x14ac:dyDescent="0.25">
      <c r="B90" s="653" t="s">
        <v>495</v>
      </c>
      <c r="C90" s="642" t="s">
        <v>630</v>
      </c>
      <c r="D90" s="643">
        <f t="shared" si="58"/>
        <v>100</v>
      </c>
      <c r="E90" s="644">
        <v>1</v>
      </c>
      <c r="F90" s="645">
        <f t="shared" si="59"/>
        <v>34</v>
      </c>
      <c r="G90" s="646">
        <v>3</v>
      </c>
      <c r="H90" s="647">
        <v>1</v>
      </c>
      <c r="I90" s="648">
        <v>30</v>
      </c>
      <c r="J90" s="645">
        <f t="shared" si="60"/>
        <v>65</v>
      </c>
      <c r="K90" s="646">
        <v>40</v>
      </c>
      <c r="L90" s="647">
        <v>24</v>
      </c>
      <c r="M90" s="649">
        <v>1</v>
      </c>
      <c r="N90" s="650">
        <v>0</v>
      </c>
      <c r="O90" s="651">
        <v>0</v>
      </c>
      <c r="P90" s="652">
        <v>0</v>
      </c>
    </row>
    <row r="91" spans="2:17" s="1" customFormat="1" x14ac:dyDescent="0.25">
      <c r="B91" s="653" t="s">
        <v>631</v>
      </c>
      <c r="C91" s="642" t="s">
        <v>632</v>
      </c>
      <c r="D91" s="643">
        <f t="shared" si="58"/>
        <v>100</v>
      </c>
      <c r="E91" s="644">
        <v>1</v>
      </c>
      <c r="F91" s="645">
        <f t="shared" si="59"/>
        <v>34</v>
      </c>
      <c r="G91" s="646">
        <v>3</v>
      </c>
      <c r="H91" s="647">
        <v>1</v>
      </c>
      <c r="I91" s="648">
        <v>30</v>
      </c>
      <c r="J91" s="645">
        <f t="shared" si="60"/>
        <v>65</v>
      </c>
      <c r="K91" s="646">
        <v>40</v>
      </c>
      <c r="L91" s="647">
        <v>24</v>
      </c>
      <c r="M91" s="649">
        <v>1</v>
      </c>
      <c r="N91" s="650">
        <v>0</v>
      </c>
      <c r="O91" s="651">
        <v>0</v>
      </c>
      <c r="P91" s="652">
        <v>0</v>
      </c>
    </row>
    <row r="92" spans="2:17" s="1" customFormat="1" x14ac:dyDescent="0.25">
      <c r="B92" s="653" t="s">
        <v>633</v>
      </c>
      <c r="C92" s="642" t="s">
        <v>634</v>
      </c>
      <c r="D92" s="643">
        <f t="shared" si="58"/>
        <v>100</v>
      </c>
      <c r="E92" s="644">
        <v>1</v>
      </c>
      <c r="F92" s="645">
        <f t="shared" si="59"/>
        <v>34</v>
      </c>
      <c r="G92" s="646">
        <v>3</v>
      </c>
      <c r="H92" s="647">
        <v>1</v>
      </c>
      <c r="I92" s="648">
        <v>30</v>
      </c>
      <c r="J92" s="645">
        <f t="shared" si="60"/>
        <v>65</v>
      </c>
      <c r="K92" s="646">
        <v>40</v>
      </c>
      <c r="L92" s="647">
        <v>24</v>
      </c>
      <c r="M92" s="649">
        <v>1</v>
      </c>
      <c r="N92" s="650">
        <v>0</v>
      </c>
      <c r="O92" s="651">
        <v>0</v>
      </c>
      <c r="P92" s="652">
        <v>0</v>
      </c>
    </row>
    <row r="93" spans="2:17" s="1" customFormat="1" x14ac:dyDescent="0.25">
      <c r="B93" s="641" t="s">
        <v>635</v>
      </c>
      <c r="C93" s="642" t="s">
        <v>636</v>
      </c>
      <c r="D93" s="643">
        <f t="shared" si="58"/>
        <v>100</v>
      </c>
      <c r="E93" s="644">
        <v>1</v>
      </c>
      <c r="F93" s="645">
        <f t="shared" si="59"/>
        <v>34</v>
      </c>
      <c r="G93" s="646">
        <v>3</v>
      </c>
      <c r="H93" s="647">
        <v>1</v>
      </c>
      <c r="I93" s="648">
        <v>30</v>
      </c>
      <c r="J93" s="645">
        <f t="shared" si="60"/>
        <v>65</v>
      </c>
      <c r="K93" s="646">
        <v>40</v>
      </c>
      <c r="L93" s="647">
        <v>24</v>
      </c>
      <c r="M93" s="649">
        <v>1</v>
      </c>
      <c r="N93" s="650">
        <v>0</v>
      </c>
      <c r="O93" s="651">
        <v>0</v>
      </c>
      <c r="P93" s="652">
        <v>0</v>
      </c>
    </row>
    <row r="94" spans="2:17" s="1" customFormat="1" x14ac:dyDescent="0.25">
      <c r="B94" s="653" t="s">
        <v>637</v>
      </c>
      <c r="C94" s="654" t="s">
        <v>638</v>
      </c>
      <c r="D94" s="655">
        <f t="shared" si="58"/>
        <v>100</v>
      </c>
      <c r="E94" s="656">
        <v>1</v>
      </c>
      <c r="F94" s="657">
        <f t="shared" si="59"/>
        <v>34</v>
      </c>
      <c r="G94" s="658">
        <v>3</v>
      </c>
      <c r="H94" s="659">
        <v>1</v>
      </c>
      <c r="I94" s="660">
        <v>30</v>
      </c>
      <c r="J94" s="657">
        <f t="shared" si="60"/>
        <v>65</v>
      </c>
      <c r="K94" s="658">
        <v>40</v>
      </c>
      <c r="L94" s="659">
        <v>24</v>
      </c>
      <c r="M94" s="661">
        <v>1</v>
      </c>
      <c r="N94" s="662">
        <v>0</v>
      </c>
      <c r="O94" s="663">
        <v>0</v>
      </c>
      <c r="P94" s="664">
        <v>0</v>
      </c>
    </row>
    <row r="95" spans="2:17" s="1" customFormat="1" ht="15.75" thickBot="1" x14ac:dyDescent="0.3">
      <c r="B95" s="665" t="s">
        <v>639</v>
      </c>
      <c r="C95" s="666" t="s">
        <v>640</v>
      </c>
      <c r="D95" s="667">
        <f t="shared" si="58"/>
        <v>100</v>
      </c>
      <c r="E95" s="668">
        <v>1</v>
      </c>
      <c r="F95" s="669">
        <f t="shared" si="59"/>
        <v>34</v>
      </c>
      <c r="G95" s="670">
        <v>3</v>
      </c>
      <c r="H95" s="671">
        <v>1</v>
      </c>
      <c r="I95" s="672">
        <v>30</v>
      </c>
      <c r="J95" s="669">
        <f t="shared" si="60"/>
        <v>65</v>
      </c>
      <c r="K95" s="670">
        <v>40</v>
      </c>
      <c r="L95" s="671">
        <v>24</v>
      </c>
      <c r="M95" s="673">
        <v>1</v>
      </c>
      <c r="N95" s="668">
        <v>0</v>
      </c>
      <c r="O95" s="674">
        <v>0</v>
      </c>
      <c r="P95" s="675">
        <v>0</v>
      </c>
    </row>
    <row r="96" spans="2:17" s="1" customFormat="1" ht="16.5" thickTop="1" thickBot="1" x14ac:dyDescent="0.3">
      <c r="B96" s="489" t="s">
        <v>77</v>
      </c>
      <c r="C96" s="490" t="s">
        <v>641</v>
      </c>
      <c r="D96" s="676">
        <f t="shared" ref="D96:P96" si="61">D97+D101+D106+D108+D111+D114</f>
        <v>17.259999999999998</v>
      </c>
      <c r="E96" s="677">
        <f t="shared" si="61"/>
        <v>1.3136101409233871E-2</v>
      </c>
      <c r="F96" s="678">
        <f t="shared" si="61"/>
        <v>2.9719105979252518</v>
      </c>
      <c r="G96" s="679">
        <f t="shared" si="61"/>
        <v>2.1948615701402336</v>
      </c>
      <c r="H96" s="680">
        <f t="shared" si="61"/>
        <v>0.35144919112408496</v>
      </c>
      <c r="I96" s="681">
        <f t="shared" si="61"/>
        <v>0.4255998366609331</v>
      </c>
      <c r="J96" s="678">
        <f t="shared" si="61"/>
        <v>11.184953300665523</v>
      </c>
      <c r="K96" s="679">
        <f t="shared" si="61"/>
        <v>4.6915703139932985</v>
      </c>
      <c r="L96" s="680">
        <f t="shared" si="61"/>
        <v>5.6750912787363799</v>
      </c>
      <c r="M96" s="682">
        <f t="shared" si="61"/>
        <v>0.81829170793584594</v>
      </c>
      <c r="N96" s="677">
        <f t="shared" si="61"/>
        <v>0</v>
      </c>
      <c r="O96" s="683">
        <f t="shared" si="61"/>
        <v>0</v>
      </c>
      <c r="P96" s="678">
        <f t="shared" si="61"/>
        <v>0</v>
      </c>
      <c r="Q96" s="602"/>
    </row>
    <row r="97" spans="2:16" s="1" customFormat="1" ht="15.75" thickTop="1" x14ac:dyDescent="0.25">
      <c r="B97" s="499" t="s">
        <v>497</v>
      </c>
      <c r="C97" s="500" t="s">
        <v>8</v>
      </c>
      <c r="D97" s="684">
        <f>SUM(D98:D100)</f>
        <v>0.95</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0.95</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14.17</v>
      </c>
      <c r="E101" s="685">
        <f>SUM(E102:E105)</f>
        <v>1.3136101409233871E-2</v>
      </c>
      <c r="F101" s="686">
        <f t="shared" si="62"/>
        <v>2.9719105979252518</v>
      </c>
      <c r="G101" s="687">
        <f>SUM(G102:G105)</f>
        <v>2.1948615701402336</v>
      </c>
      <c r="H101" s="688">
        <f>SUM(H102:H105)</f>
        <v>0.35144919112408496</v>
      </c>
      <c r="I101" s="689">
        <f>SUM(I102:I105)</f>
        <v>0.4255998366609331</v>
      </c>
      <c r="J101" s="686">
        <f t="shared" si="63"/>
        <v>11.184953300665523</v>
      </c>
      <c r="K101" s="687">
        <f t="shared" ref="K101:P101" si="67">SUM(K102:K105)</f>
        <v>4.6915703139932985</v>
      </c>
      <c r="L101" s="688">
        <f t="shared" si="67"/>
        <v>5.6750912787363799</v>
      </c>
      <c r="M101" s="690">
        <f t="shared" si="67"/>
        <v>0.81829170793584594</v>
      </c>
      <c r="N101" s="685">
        <f t="shared" si="67"/>
        <v>0</v>
      </c>
      <c r="O101" s="691">
        <f t="shared" si="67"/>
        <v>0</v>
      </c>
      <c r="P101" s="686">
        <f t="shared" si="67"/>
        <v>0</v>
      </c>
    </row>
    <row r="102" spans="2:16" s="1" customFormat="1" x14ac:dyDescent="0.25">
      <c r="B102" s="509" t="s">
        <v>500</v>
      </c>
      <c r="C102" s="510" t="s">
        <v>17</v>
      </c>
      <c r="D102" s="692">
        <v>14.17</v>
      </c>
      <c r="E102" s="693">
        <f>IFERROR($D102*E122/100, 0)</f>
        <v>1.3136101409233871E-2</v>
      </c>
      <c r="F102" s="694">
        <f t="shared" si="62"/>
        <v>2.9719105979252518</v>
      </c>
      <c r="G102" s="695">
        <f t="shared" ref="G102:I105" si="68">IFERROR($D102*G122/100, 0)</f>
        <v>2.1948615701402336</v>
      </c>
      <c r="H102" s="696">
        <f t="shared" si="68"/>
        <v>0.35144919112408496</v>
      </c>
      <c r="I102" s="697">
        <f t="shared" si="68"/>
        <v>0.4255998366609331</v>
      </c>
      <c r="J102" s="694">
        <f t="shared" si="63"/>
        <v>11.184953300665523</v>
      </c>
      <c r="K102" s="695">
        <f t="shared" ref="K102:P105" si="69">IFERROR($D102*K122/100, 0)</f>
        <v>4.6915703139932985</v>
      </c>
      <c r="L102" s="696">
        <f t="shared" si="69"/>
        <v>5.6750912787363799</v>
      </c>
      <c r="M102" s="698">
        <f t="shared" si="69"/>
        <v>0.81829170793584594</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v>
      </c>
      <c r="E106" s="685">
        <f>E107</f>
        <v>0</v>
      </c>
      <c r="F106" s="686">
        <f t="shared" si="62"/>
        <v>0</v>
      </c>
      <c r="G106" s="687">
        <f>G107</f>
        <v>0</v>
      </c>
      <c r="H106" s="688">
        <f>H107</f>
        <v>0</v>
      </c>
      <c r="I106" s="689">
        <f>I107</f>
        <v>0</v>
      </c>
      <c r="J106" s="686">
        <f t="shared" si="63"/>
        <v>0</v>
      </c>
      <c r="K106" s="687">
        <f t="shared" ref="K106:P106" si="70">K107</f>
        <v>0</v>
      </c>
      <c r="L106" s="688">
        <f t="shared" si="70"/>
        <v>0</v>
      </c>
      <c r="M106" s="690">
        <f t="shared" si="70"/>
        <v>0</v>
      </c>
      <c r="N106" s="685">
        <f t="shared" si="70"/>
        <v>0</v>
      </c>
      <c r="O106" s="691">
        <f t="shared" si="70"/>
        <v>0</v>
      </c>
      <c r="P106" s="686">
        <f t="shared" si="70"/>
        <v>0</v>
      </c>
    </row>
    <row r="107" spans="2:16" s="1" customFormat="1" x14ac:dyDescent="0.25">
      <c r="B107" s="509" t="s">
        <v>503</v>
      </c>
      <c r="C107" s="525" t="s">
        <v>647</v>
      </c>
      <c r="D107" s="692"/>
      <c r="E107" s="693">
        <f>IFERROR($D107*E126/100, 0)</f>
        <v>0</v>
      </c>
      <c r="F107" s="694">
        <f t="shared" si="62"/>
        <v>0</v>
      </c>
      <c r="G107" s="695">
        <f>IFERROR($D107*G126/100, 0)</f>
        <v>0</v>
      </c>
      <c r="H107" s="696">
        <f>IFERROR($D107*H126/100, 0)</f>
        <v>0</v>
      </c>
      <c r="I107" s="697">
        <f>IFERROR($D107*I126/100, 0)</f>
        <v>0</v>
      </c>
      <c r="J107" s="694">
        <f t="shared" si="63"/>
        <v>0</v>
      </c>
      <c r="K107" s="695">
        <f t="shared" ref="K107:P107" si="71">IFERROR($D107*K126/100, 0)</f>
        <v>0</v>
      </c>
      <c r="L107" s="696">
        <f t="shared" si="71"/>
        <v>0</v>
      </c>
      <c r="M107" s="698">
        <f t="shared" si="71"/>
        <v>0</v>
      </c>
      <c r="N107" s="693">
        <f t="shared" si="71"/>
        <v>0</v>
      </c>
      <c r="O107" s="699">
        <f t="shared" si="71"/>
        <v>0</v>
      </c>
      <c r="P107" s="694">
        <f t="shared" si="71"/>
        <v>0</v>
      </c>
    </row>
    <row r="108" spans="2:16" s="1" customFormat="1" x14ac:dyDescent="0.25">
      <c r="B108" s="499" t="s">
        <v>175</v>
      </c>
      <c r="C108" s="524" t="s">
        <v>33</v>
      </c>
      <c r="D108" s="684">
        <f>D109+D110</f>
        <v>0</v>
      </c>
      <c r="E108" s="685">
        <f>E109+E110</f>
        <v>0</v>
      </c>
      <c r="F108" s="686">
        <f t="shared" si="62"/>
        <v>0</v>
      </c>
      <c r="G108" s="687">
        <f>G109+G110</f>
        <v>0</v>
      </c>
      <c r="H108" s="688">
        <f>H109+H110</f>
        <v>0</v>
      </c>
      <c r="I108" s="689">
        <f>I109+I110</f>
        <v>0</v>
      </c>
      <c r="J108" s="686">
        <f t="shared" si="63"/>
        <v>0</v>
      </c>
      <c r="K108" s="687">
        <f t="shared" ref="K108:P108" si="72">K109+K110</f>
        <v>0</v>
      </c>
      <c r="L108" s="688">
        <f t="shared" si="72"/>
        <v>0</v>
      </c>
      <c r="M108" s="690">
        <f t="shared" si="72"/>
        <v>0</v>
      </c>
      <c r="N108" s="685">
        <f t="shared" si="72"/>
        <v>0</v>
      </c>
      <c r="O108" s="691">
        <f t="shared" si="72"/>
        <v>0</v>
      </c>
      <c r="P108" s="686">
        <f t="shared" si="72"/>
        <v>0</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0</v>
      </c>
      <c r="E110" s="693">
        <f>IFERROR($D110*E128/100, 0)</f>
        <v>0</v>
      </c>
      <c r="F110" s="694">
        <f t="shared" si="62"/>
        <v>0</v>
      </c>
      <c r="G110" s="695">
        <f t="shared" si="73"/>
        <v>0</v>
      </c>
      <c r="H110" s="696">
        <f t="shared" si="73"/>
        <v>0</v>
      </c>
      <c r="I110" s="697">
        <f t="shared" si="73"/>
        <v>0</v>
      </c>
      <c r="J110" s="694">
        <f t="shared" si="63"/>
        <v>0</v>
      </c>
      <c r="K110" s="695">
        <f t="shared" si="74"/>
        <v>0</v>
      </c>
      <c r="L110" s="696">
        <f t="shared" si="74"/>
        <v>0</v>
      </c>
      <c r="M110" s="698">
        <f t="shared" si="74"/>
        <v>0</v>
      </c>
      <c r="N110" s="693">
        <f t="shared" si="74"/>
        <v>0</v>
      </c>
      <c r="O110" s="699">
        <f t="shared" si="74"/>
        <v>0</v>
      </c>
      <c r="P110" s="694">
        <f t="shared" si="74"/>
        <v>0</v>
      </c>
    </row>
    <row r="111" spans="2:16" s="1" customFormat="1" x14ac:dyDescent="0.25">
      <c r="B111" s="499" t="s">
        <v>177</v>
      </c>
      <c r="C111" s="536" t="s">
        <v>39</v>
      </c>
      <c r="D111" s="700">
        <f>D112+D113</f>
        <v>0</v>
      </c>
      <c r="E111" s="701">
        <f>E112+E113</f>
        <v>0</v>
      </c>
      <c r="F111" s="702">
        <f t="shared" si="62"/>
        <v>0</v>
      </c>
      <c r="G111" s="703">
        <f>G112+G113</f>
        <v>0</v>
      </c>
      <c r="H111" s="704">
        <f>H112+H113</f>
        <v>0</v>
      </c>
      <c r="I111" s="705">
        <f>I112+I113</f>
        <v>0</v>
      </c>
      <c r="J111" s="702">
        <f t="shared" si="63"/>
        <v>0</v>
      </c>
      <c r="K111" s="703">
        <f t="shared" ref="K111:P111" si="75">K112+K113</f>
        <v>0</v>
      </c>
      <c r="L111" s="704">
        <f t="shared" si="75"/>
        <v>0</v>
      </c>
      <c r="M111" s="706">
        <f t="shared" si="75"/>
        <v>0</v>
      </c>
      <c r="N111" s="701">
        <f t="shared" si="75"/>
        <v>0</v>
      </c>
      <c r="O111" s="707">
        <f t="shared" si="75"/>
        <v>0</v>
      </c>
      <c r="P111" s="702">
        <f t="shared" si="75"/>
        <v>0</v>
      </c>
    </row>
    <row r="112" spans="2:16" s="1" customFormat="1" x14ac:dyDescent="0.25">
      <c r="B112" s="544" t="s">
        <v>648</v>
      </c>
      <c r="C112" s="545" t="s">
        <v>41</v>
      </c>
      <c r="D112" s="708">
        <v>0</v>
      </c>
      <c r="E112" s="693">
        <f>IFERROR($D112*E129/100, 0)</f>
        <v>0</v>
      </c>
      <c r="F112" s="694">
        <f t="shared" si="62"/>
        <v>0</v>
      </c>
      <c r="G112" s="695">
        <f t="shared" ref="G112:I113" si="76">IFERROR($D112*G129/100, 0)</f>
        <v>0</v>
      </c>
      <c r="H112" s="696">
        <f t="shared" si="76"/>
        <v>0</v>
      </c>
      <c r="I112" s="697">
        <f t="shared" si="76"/>
        <v>0</v>
      </c>
      <c r="J112" s="694">
        <f t="shared" si="63"/>
        <v>0</v>
      </c>
      <c r="K112" s="695">
        <f t="shared" ref="K112:P113" si="77">IFERROR($D112*K129/100, 0)</f>
        <v>0</v>
      </c>
      <c r="L112" s="696">
        <f t="shared" si="77"/>
        <v>0</v>
      </c>
      <c r="M112" s="698">
        <f t="shared" si="77"/>
        <v>0</v>
      </c>
      <c r="N112" s="693">
        <f t="shared" si="77"/>
        <v>0</v>
      </c>
      <c r="O112" s="699">
        <f t="shared" si="77"/>
        <v>0</v>
      </c>
      <c r="P112" s="694">
        <f t="shared" si="77"/>
        <v>0</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2.1399999999999997</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1247</v>
      </c>
      <c r="D115" s="715">
        <v>1.17</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1248</v>
      </c>
      <c r="D116" s="715">
        <v>0.97</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0</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100.00000000000007</v>
      </c>
      <c r="E122" s="716">
        <v>9.2703609098333598E-2</v>
      </c>
      <c r="F122" s="645">
        <f t="shared" si="87"/>
        <v>20.973257571808411</v>
      </c>
      <c r="G122" s="724">
        <v>15.489495907835099</v>
      </c>
      <c r="H122" s="725">
        <v>2.4802342351735001</v>
      </c>
      <c r="I122" s="726">
        <v>3.0035274287998099</v>
      </c>
      <c r="J122" s="645">
        <f t="shared" si="88"/>
        <v>78.934038819093331</v>
      </c>
      <c r="K122" s="724">
        <v>33.109176527828502</v>
      </c>
      <c r="L122" s="725">
        <v>40.050044310066198</v>
      </c>
      <c r="M122" s="727">
        <v>5.7748179811986304</v>
      </c>
      <c r="N122" s="728">
        <v>0</v>
      </c>
      <c r="O122" s="729">
        <v>0</v>
      </c>
      <c r="P122" s="730">
        <v>0</v>
      </c>
    </row>
    <row r="123" spans="2:16" s="1" customFormat="1" x14ac:dyDescent="0.25">
      <c r="B123" s="641" t="s">
        <v>656</v>
      </c>
      <c r="C123" s="642" t="s">
        <v>657</v>
      </c>
      <c r="D123" s="643">
        <f t="shared" si="86"/>
        <v>100</v>
      </c>
      <c r="E123" s="716">
        <v>0</v>
      </c>
      <c r="F123" s="645">
        <f t="shared" si="87"/>
        <v>0</v>
      </c>
      <c r="G123" s="724">
        <v>0</v>
      </c>
      <c r="H123" s="725">
        <v>0</v>
      </c>
      <c r="I123" s="726">
        <v>0</v>
      </c>
      <c r="J123" s="645">
        <f t="shared" si="88"/>
        <v>100</v>
      </c>
      <c r="K123" s="724">
        <v>65.827338129496397</v>
      </c>
      <c r="L123" s="725">
        <v>34.172661870503603</v>
      </c>
      <c r="M123" s="727">
        <v>0</v>
      </c>
      <c r="N123" s="728">
        <v>0</v>
      </c>
      <c r="O123" s="729">
        <v>0</v>
      </c>
      <c r="P123" s="730">
        <v>0</v>
      </c>
    </row>
    <row r="124" spans="2:16" s="1" customFormat="1" x14ac:dyDescent="0.25">
      <c r="B124" s="641" t="s">
        <v>658</v>
      </c>
      <c r="C124" s="642" t="s">
        <v>659</v>
      </c>
      <c r="D124" s="643">
        <f t="shared" si="86"/>
        <v>100</v>
      </c>
      <c r="E124" s="716">
        <v>0</v>
      </c>
      <c r="F124" s="645">
        <f t="shared" si="87"/>
        <v>47.401681230214699</v>
      </c>
      <c r="G124" s="724">
        <v>0</v>
      </c>
      <c r="H124" s="725">
        <v>0</v>
      </c>
      <c r="I124" s="726">
        <v>47.401681230214699</v>
      </c>
      <c r="J124" s="645">
        <f t="shared" si="88"/>
        <v>52.598318769785301</v>
      </c>
      <c r="K124" s="724">
        <v>52.598318769785301</v>
      </c>
      <c r="L124" s="725">
        <v>0</v>
      </c>
      <c r="M124" s="727">
        <v>0</v>
      </c>
      <c r="N124" s="728">
        <v>0</v>
      </c>
      <c r="O124" s="729">
        <v>0</v>
      </c>
      <c r="P124" s="730">
        <v>0</v>
      </c>
    </row>
    <row r="125" spans="2:16" s="1" customFormat="1" x14ac:dyDescent="0.25">
      <c r="B125" s="641" t="s">
        <v>660</v>
      </c>
      <c r="C125" s="642" t="s">
        <v>661</v>
      </c>
      <c r="D125" s="643">
        <f t="shared" si="86"/>
        <v>100.00000000000004</v>
      </c>
      <c r="E125" s="716">
        <v>0</v>
      </c>
      <c r="F125" s="645">
        <f t="shared" si="87"/>
        <v>6.2181942707877012</v>
      </c>
      <c r="G125" s="724">
        <v>2.41623993565188</v>
      </c>
      <c r="H125" s="725">
        <v>2.9800823464763799</v>
      </c>
      <c r="I125" s="726">
        <v>0.821871988659441</v>
      </c>
      <c r="J125" s="645">
        <f t="shared" si="88"/>
        <v>93.781805729212337</v>
      </c>
      <c r="K125" s="724">
        <v>10.0225377686813</v>
      </c>
      <c r="L125" s="725">
        <v>82.164900013538599</v>
      </c>
      <c r="M125" s="727">
        <v>1.5943679469924401</v>
      </c>
      <c r="N125" s="728">
        <v>0</v>
      </c>
      <c r="O125" s="729">
        <v>0</v>
      </c>
      <c r="P125" s="730">
        <v>0</v>
      </c>
    </row>
    <row r="126" spans="2:16" s="1" customFormat="1" x14ac:dyDescent="0.25">
      <c r="B126" s="653" t="s">
        <v>662</v>
      </c>
      <c r="C126" s="642" t="s">
        <v>663</v>
      </c>
      <c r="D126" s="643">
        <f t="shared" si="86"/>
        <v>100.00000000000009</v>
      </c>
      <c r="E126" s="716">
        <v>7.7712992776955897E-2</v>
      </c>
      <c r="F126" s="645">
        <f t="shared" si="87"/>
        <v>39.932294839439606</v>
      </c>
      <c r="G126" s="724">
        <v>32.101557740840697</v>
      </c>
      <c r="H126" s="725">
        <v>7.7712992776955897E-2</v>
      </c>
      <c r="I126" s="726">
        <v>7.7530241058219502</v>
      </c>
      <c r="J126" s="645">
        <f t="shared" si="88"/>
        <v>59.989992167783527</v>
      </c>
      <c r="K126" s="724">
        <v>39.423896962840502</v>
      </c>
      <c r="L126" s="725">
        <v>19.805238882603799</v>
      </c>
      <c r="M126" s="727">
        <v>0.76085632233922196</v>
      </c>
      <c r="N126" s="728">
        <v>0</v>
      </c>
      <c r="O126" s="729">
        <v>0</v>
      </c>
      <c r="P126" s="730">
        <v>0</v>
      </c>
    </row>
    <row r="127" spans="2:16" s="1" customFormat="1" x14ac:dyDescent="0.25">
      <c r="B127" s="653" t="s">
        <v>664</v>
      </c>
      <c r="C127" s="642" t="s">
        <v>665</v>
      </c>
      <c r="D127" s="643">
        <f t="shared" si="86"/>
        <v>100.00000000000003</v>
      </c>
      <c r="E127" s="716">
        <v>98.750892219842996</v>
      </c>
      <c r="F127" s="645">
        <f t="shared" si="87"/>
        <v>0</v>
      </c>
      <c r="G127" s="724">
        <v>0</v>
      </c>
      <c r="H127" s="725">
        <v>0</v>
      </c>
      <c r="I127" s="726">
        <v>0</v>
      </c>
      <c r="J127" s="645">
        <f t="shared" si="88"/>
        <v>1.2491077801570301</v>
      </c>
      <c r="K127" s="724">
        <v>0</v>
      </c>
      <c r="L127" s="725">
        <v>1.2491077801570301</v>
      </c>
      <c r="M127" s="727">
        <v>0</v>
      </c>
      <c r="N127" s="728">
        <v>0</v>
      </c>
      <c r="O127" s="729">
        <v>0</v>
      </c>
      <c r="P127" s="730">
        <v>0</v>
      </c>
    </row>
    <row r="128" spans="2:16" s="1" customFormat="1" x14ac:dyDescent="0.25">
      <c r="B128" s="653" t="s">
        <v>666</v>
      </c>
      <c r="C128" s="642" t="s">
        <v>667</v>
      </c>
      <c r="D128" s="643">
        <f t="shared" si="86"/>
        <v>0</v>
      </c>
      <c r="E128" s="716">
        <v>0</v>
      </c>
      <c r="F128" s="645">
        <f t="shared" si="87"/>
        <v>0</v>
      </c>
      <c r="G128" s="724">
        <v>0</v>
      </c>
      <c r="H128" s="725">
        <v>0</v>
      </c>
      <c r="I128" s="726">
        <v>0</v>
      </c>
      <c r="J128" s="645">
        <f t="shared" si="88"/>
        <v>0</v>
      </c>
      <c r="K128" s="724">
        <v>0</v>
      </c>
      <c r="L128" s="725">
        <v>0</v>
      </c>
      <c r="M128" s="727">
        <v>0</v>
      </c>
      <c r="N128" s="728">
        <v>0</v>
      </c>
      <c r="O128" s="729">
        <v>0</v>
      </c>
      <c r="P128" s="730">
        <v>0</v>
      </c>
    </row>
    <row r="129" spans="2:16" s="1" customFormat="1" x14ac:dyDescent="0.25">
      <c r="B129" s="653" t="s">
        <v>668</v>
      </c>
      <c r="C129" s="642" t="s">
        <v>669</v>
      </c>
      <c r="D129" s="643">
        <f t="shared" si="86"/>
        <v>100.00000000000006</v>
      </c>
      <c r="E129" s="716">
        <v>24.894092219020202</v>
      </c>
      <c r="F129" s="645">
        <f t="shared" si="87"/>
        <v>25.793948126801141</v>
      </c>
      <c r="G129" s="724">
        <v>2.27593659942363</v>
      </c>
      <c r="H129" s="725">
        <v>0.75864553314121097</v>
      </c>
      <c r="I129" s="726">
        <v>22.759365994236301</v>
      </c>
      <c r="J129" s="645">
        <f t="shared" si="88"/>
        <v>49.311959654178715</v>
      </c>
      <c r="K129" s="724">
        <v>30.345821325648402</v>
      </c>
      <c r="L129" s="725">
        <v>18.207492795389101</v>
      </c>
      <c r="M129" s="727">
        <v>0.75864553314121097</v>
      </c>
      <c r="N129" s="728">
        <v>0</v>
      </c>
      <c r="O129" s="729">
        <v>0</v>
      </c>
      <c r="P129" s="730">
        <v>0</v>
      </c>
    </row>
    <row r="130" spans="2:16" s="1" customFormat="1" x14ac:dyDescent="0.25">
      <c r="B130" s="641" t="s">
        <v>670</v>
      </c>
      <c r="C130" s="642" t="s">
        <v>671</v>
      </c>
      <c r="D130" s="643">
        <f t="shared" si="86"/>
        <v>100.00000000000001</v>
      </c>
      <c r="E130" s="716">
        <v>0.28522560677634801</v>
      </c>
      <c r="F130" s="645">
        <f t="shared" si="87"/>
        <v>9.697670630395832</v>
      </c>
      <c r="G130" s="724">
        <v>0.85567682032904402</v>
      </c>
      <c r="H130" s="725">
        <v>0.28522560677634801</v>
      </c>
      <c r="I130" s="726">
        <v>8.5567682032904404</v>
      </c>
      <c r="J130" s="645">
        <f t="shared" si="88"/>
        <v>86.759244176576004</v>
      </c>
      <c r="K130" s="724">
        <v>79.628604007167297</v>
      </c>
      <c r="L130" s="725">
        <v>6.8454145626323504</v>
      </c>
      <c r="M130" s="727">
        <v>0.28522560677634801</v>
      </c>
      <c r="N130" s="728">
        <v>0</v>
      </c>
      <c r="O130" s="729">
        <v>0</v>
      </c>
      <c r="P130" s="730">
        <v>3.25785958625183</v>
      </c>
    </row>
    <row r="131" spans="2:16" s="1" customFormat="1" x14ac:dyDescent="0.25">
      <c r="B131" s="653" t="s">
        <v>672</v>
      </c>
      <c r="C131" s="642" t="s">
        <v>673</v>
      </c>
      <c r="D131" s="643">
        <f t="shared" si="86"/>
        <v>0</v>
      </c>
      <c r="E131" s="716">
        <v>0</v>
      </c>
      <c r="F131" s="645">
        <f t="shared" si="87"/>
        <v>0</v>
      </c>
      <c r="G131" s="724">
        <v>0</v>
      </c>
      <c r="H131" s="725">
        <v>0</v>
      </c>
      <c r="I131" s="726">
        <v>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99.999999999999915</v>
      </c>
      <c r="E133" s="742">
        <v>0.89467005076142103</v>
      </c>
      <c r="F133" s="743">
        <f t="shared" si="87"/>
        <v>30.41878172588828</v>
      </c>
      <c r="G133" s="744">
        <v>2.6840101522842601</v>
      </c>
      <c r="H133" s="745">
        <v>0.89467005076142103</v>
      </c>
      <c r="I133" s="746">
        <v>26.840101522842598</v>
      </c>
      <c r="J133" s="743">
        <f t="shared" si="88"/>
        <v>68.686548223350215</v>
      </c>
      <c r="K133" s="744">
        <v>35.786802030456798</v>
      </c>
      <c r="L133" s="745">
        <v>32.005076142131998</v>
      </c>
      <c r="M133" s="747">
        <v>0.89467005076142103</v>
      </c>
      <c r="N133" s="748">
        <v>0</v>
      </c>
      <c r="O133" s="749">
        <v>0</v>
      </c>
      <c r="P133" s="750">
        <v>0</v>
      </c>
    </row>
    <row r="134" spans="2:16" s="1" customFormat="1" ht="26.25" thickBot="1" x14ac:dyDescent="0.3">
      <c r="B134" s="751" t="s">
        <v>81</v>
      </c>
      <c r="C134" s="752" t="s">
        <v>678</v>
      </c>
      <c r="D134" s="753">
        <f t="shared" si="86"/>
        <v>82.097334878331466</v>
      </c>
      <c r="E134" s="754">
        <f>IFERROR(E96/$D$96*100, 0)</f>
        <v>7.6107192405758237E-2</v>
      </c>
      <c r="F134" s="755">
        <f t="shared" si="87"/>
        <v>17.218485503622546</v>
      </c>
      <c r="G134" s="756">
        <f>IFERROR(G96/$D$96*100, 0)</f>
        <v>12.71646332642082</v>
      </c>
      <c r="H134" s="757">
        <f>IFERROR(H96/$D$96*100, 0)</f>
        <v>2.0362062058174102</v>
      </c>
      <c r="I134" s="758">
        <f>IFERROR(I96/$D$96*100, 0)</f>
        <v>2.4658159713843171</v>
      </c>
      <c r="J134" s="755">
        <f t="shared" si="88"/>
        <v>64.802742182303163</v>
      </c>
      <c r="K134" s="756">
        <f t="shared" ref="K134:P134" si="89">IFERROR(K96/$D$96*100, 0)</f>
        <v>27.181751529509263</v>
      </c>
      <c r="L134" s="757">
        <f t="shared" si="89"/>
        <v>32.880018996155158</v>
      </c>
      <c r="M134" s="759">
        <f t="shared" si="89"/>
        <v>4.7409716566387372</v>
      </c>
      <c r="N134" s="755">
        <f t="shared" si="89"/>
        <v>0</v>
      </c>
      <c r="O134" s="760">
        <f t="shared" si="89"/>
        <v>0</v>
      </c>
      <c r="P134" s="755">
        <f t="shared" si="89"/>
        <v>0</v>
      </c>
    </row>
  </sheetData>
  <sheetProtection algorithmName="SHA-512" hashValue="I7DYkQgGj6XqW68bAhr7+gbBmfa7cxmOXjbC503UwuZP2cNDPmvmWBPnK6XezNK6zEvSGXH1D4iiKipG2JV3EQ==" saltValue="lreyvxYm5OJUpjx6/HESGj5NpfoHjQylMkuQj/CbpqFFdfexqi7fXkOderiqGFgbtbsRrQM9n3Cg5GLwL3C8Tw==" spinCount="100000" sheet="1" objects="1" scenarios="1"/>
  <mergeCells count="5">
    <mergeCell ref="B8:P8"/>
    <mergeCell ref="A1:P1"/>
    <mergeCell ref="A2:P2"/>
    <mergeCell ref="A3:P3"/>
    <mergeCell ref="A5:P5"/>
  </mergeCells>
  <pageMargins left="0.7" right="0.7" top="0.75" bottom="0.75" header="0.3" footer="0.3"/>
  <pageSetup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opLeftCell="A40" workbookViewId="0">
      <selection activeCell="E57" sqref="E57"/>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1" t="s">
        <v>0</v>
      </c>
      <c r="B1" s="1332"/>
      <c r="C1" s="1332"/>
      <c r="D1" s="1332"/>
      <c r="E1" s="1332"/>
      <c r="F1" s="1333"/>
    </row>
    <row r="2" spans="1:8" s="1" customFormat="1" x14ac:dyDescent="0.25">
      <c r="A2" s="1331" t="s">
        <v>1</v>
      </c>
      <c r="B2" s="1332"/>
      <c r="C2" s="1332"/>
      <c r="D2" s="1332"/>
      <c r="E2" s="1332"/>
      <c r="F2" s="1333"/>
    </row>
    <row r="3" spans="1:8" s="1" customFormat="1" x14ac:dyDescent="0.25">
      <c r="A3" s="1334"/>
      <c r="B3" s="1335"/>
      <c r="C3" s="1335"/>
      <c r="D3" s="1335"/>
      <c r="E3" s="1335"/>
      <c r="F3" s="1336"/>
    </row>
    <row r="4" spans="1:8" s="1" customFormat="1" x14ac:dyDescent="0.25">
      <c r="A4" s="764"/>
      <c r="B4" s="765"/>
      <c r="C4" s="765"/>
      <c r="D4" s="765"/>
      <c r="E4" s="766"/>
      <c r="F4" s="765"/>
    </row>
    <row r="5" spans="1:8" s="1" customFormat="1" x14ac:dyDescent="0.25">
      <c r="A5" s="1337" t="s">
        <v>679</v>
      </c>
      <c r="B5" s="1338"/>
      <c r="C5" s="1338"/>
      <c r="D5" s="1338"/>
      <c r="E5" s="1338"/>
      <c r="F5" s="1339"/>
    </row>
    <row r="6" spans="1:8" s="1" customFormat="1" x14ac:dyDescent="0.25">
      <c r="A6" s="764"/>
      <c r="B6" s="765"/>
      <c r="C6" s="765"/>
      <c r="D6" s="765"/>
      <c r="E6" s="766"/>
      <c r="F6" s="765"/>
    </row>
    <row r="8" spans="1:8" s="1" customFormat="1" ht="15.75" thickBot="1" x14ac:dyDescent="0.3">
      <c r="B8" s="1330" t="s">
        <v>680</v>
      </c>
      <c r="C8" s="1330"/>
      <c r="D8" s="1330"/>
      <c r="E8" s="1330"/>
      <c r="F8" s="1330"/>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1583.93</v>
      </c>
      <c r="F10" s="777" t="s">
        <v>687</v>
      </c>
      <c r="G10" s="772"/>
      <c r="H10" s="778"/>
    </row>
    <row r="11" spans="1:8" s="1" customFormat="1" x14ac:dyDescent="0.25">
      <c r="B11" s="779" t="s">
        <v>98</v>
      </c>
      <c r="C11" s="780" t="s">
        <v>688</v>
      </c>
      <c r="D11" s="781" t="s">
        <v>686</v>
      </c>
      <c r="E11" s="782">
        <f>SUM(E12:E18)</f>
        <v>43.410000000000004</v>
      </c>
      <c r="F11" s="783" t="s">
        <v>687</v>
      </c>
      <c r="G11" s="772"/>
    </row>
    <row r="12" spans="1:8" s="1" customFormat="1" x14ac:dyDescent="0.25">
      <c r="B12" s="784" t="s">
        <v>689</v>
      </c>
      <c r="C12" s="785" t="s">
        <v>690</v>
      </c>
      <c r="D12" s="786" t="s">
        <v>686</v>
      </c>
      <c r="E12" s="787">
        <v>2.6</v>
      </c>
      <c r="F12" s="783" t="s">
        <v>687</v>
      </c>
      <c r="G12" s="772"/>
    </row>
    <row r="13" spans="1:8" s="1" customFormat="1" x14ac:dyDescent="0.25">
      <c r="B13" s="784" t="s">
        <v>691</v>
      </c>
      <c r="C13" s="785" t="s">
        <v>692</v>
      </c>
      <c r="D13" s="786" t="s">
        <v>686</v>
      </c>
      <c r="E13" s="787">
        <v>0</v>
      </c>
      <c r="F13" s="783" t="s">
        <v>687</v>
      </c>
      <c r="G13" s="772"/>
    </row>
    <row r="14" spans="1:8" s="1" customFormat="1" x14ac:dyDescent="0.25">
      <c r="B14" s="784" t="s">
        <v>693</v>
      </c>
      <c r="C14" s="785" t="s">
        <v>694</v>
      </c>
      <c r="D14" s="786" t="s">
        <v>686</v>
      </c>
      <c r="E14" s="787">
        <v>0</v>
      </c>
      <c r="F14" s="783" t="s">
        <v>687</v>
      </c>
      <c r="G14" s="772"/>
    </row>
    <row r="15" spans="1:8" s="1" customFormat="1" x14ac:dyDescent="0.25">
      <c r="B15" s="784" t="s">
        <v>695</v>
      </c>
      <c r="C15" s="785" t="s">
        <v>696</v>
      </c>
      <c r="D15" s="786" t="s">
        <v>686</v>
      </c>
      <c r="E15" s="787">
        <v>0</v>
      </c>
      <c r="F15" s="783" t="s">
        <v>687</v>
      </c>
      <c r="G15" s="772"/>
    </row>
    <row r="16" spans="1:8" s="1" customFormat="1" x14ac:dyDescent="0.25">
      <c r="B16" s="784" t="s">
        <v>697</v>
      </c>
      <c r="C16" s="785" t="s">
        <v>698</v>
      </c>
      <c r="D16" s="786" t="s">
        <v>686</v>
      </c>
      <c r="E16" s="787">
        <v>40.81</v>
      </c>
      <c r="F16" s="783" t="s">
        <v>687</v>
      </c>
      <c r="G16" s="772"/>
    </row>
    <row r="17" spans="2:8" s="1" customFormat="1" x14ac:dyDescent="0.25">
      <c r="B17" s="784" t="s">
        <v>699</v>
      </c>
      <c r="C17" s="785" t="s">
        <v>700</v>
      </c>
      <c r="D17" s="786" t="s">
        <v>686</v>
      </c>
      <c r="E17" s="787">
        <v>0</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1540.52</v>
      </c>
      <c r="F19" s="793" t="s">
        <v>687</v>
      </c>
      <c r="G19" s="772"/>
    </row>
    <row r="20" spans="2:8" s="1" customFormat="1" x14ac:dyDescent="0.25">
      <c r="B20" s="784" t="s">
        <v>704</v>
      </c>
      <c r="C20" s="785" t="s">
        <v>690</v>
      </c>
      <c r="D20" s="784" t="s">
        <v>686</v>
      </c>
      <c r="E20" s="794">
        <v>670.32</v>
      </c>
      <c r="F20" s="795" t="s">
        <v>687</v>
      </c>
      <c r="G20" s="772"/>
    </row>
    <row r="21" spans="2:8" s="1" customFormat="1" x14ac:dyDescent="0.25">
      <c r="B21" s="784" t="s">
        <v>705</v>
      </c>
      <c r="C21" s="785" t="s">
        <v>692</v>
      </c>
      <c r="D21" s="784" t="s">
        <v>686</v>
      </c>
      <c r="E21" s="794">
        <v>8.2899999999999991</v>
      </c>
      <c r="F21" s="795" t="s">
        <v>687</v>
      </c>
      <c r="G21" s="772"/>
    </row>
    <row r="22" spans="2:8" s="1" customFormat="1" x14ac:dyDescent="0.25">
      <c r="B22" s="784" t="s">
        <v>706</v>
      </c>
      <c r="C22" s="785" t="s">
        <v>694</v>
      </c>
      <c r="D22" s="784" t="s">
        <v>686</v>
      </c>
      <c r="E22" s="794">
        <v>9.5</v>
      </c>
      <c r="F22" s="795" t="s">
        <v>687</v>
      </c>
      <c r="G22" s="772"/>
    </row>
    <row r="23" spans="2:8" s="1" customFormat="1" x14ac:dyDescent="0.25">
      <c r="B23" s="784" t="s">
        <v>707</v>
      </c>
      <c r="C23" s="785" t="s">
        <v>696</v>
      </c>
      <c r="D23" s="784" t="s">
        <v>686</v>
      </c>
      <c r="E23" s="794">
        <v>187.5</v>
      </c>
      <c r="F23" s="795" t="s">
        <v>687</v>
      </c>
      <c r="G23" s="772"/>
    </row>
    <row r="24" spans="2:8" s="1" customFormat="1" x14ac:dyDescent="0.25">
      <c r="B24" s="784" t="s">
        <v>708</v>
      </c>
      <c r="C24" s="785" t="s">
        <v>698</v>
      </c>
      <c r="D24" s="784" t="s">
        <v>686</v>
      </c>
      <c r="E24" s="794">
        <v>663.41</v>
      </c>
      <c r="F24" s="795" t="s">
        <v>687</v>
      </c>
      <c r="G24" s="772"/>
    </row>
    <row r="25" spans="2:8" s="1" customFormat="1" x14ac:dyDescent="0.25">
      <c r="B25" s="784" t="s">
        <v>709</v>
      </c>
      <c r="C25" s="785" t="s">
        <v>700</v>
      </c>
      <c r="D25" s="784" t="s">
        <v>686</v>
      </c>
      <c r="E25" s="794">
        <v>1.5</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1630.26</v>
      </c>
      <c r="F27" s="800"/>
      <c r="G27" s="772"/>
    </row>
    <row r="28" spans="2:8" s="1" customFormat="1" x14ac:dyDescent="0.25">
      <c r="B28" s="773" t="s">
        <v>138</v>
      </c>
      <c r="C28" s="801" t="s">
        <v>712</v>
      </c>
      <c r="D28" s="773" t="s">
        <v>686</v>
      </c>
      <c r="E28" s="802">
        <f>E29+E30+E31</f>
        <v>690.71</v>
      </c>
      <c r="F28" s="793" t="s">
        <v>687</v>
      </c>
      <c r="G28" s="772"/>
    </row>
    <row r="29" spans="2:8" s="1" customFormat="1" x14ac:dyDescent="0.25">
      <c r="B29" s="779" t="s">
        <v>713</v>
      </c>
      <c r="C29" s="803" t="s">
        <v>690</v>
      </c>
      <c r="D29" s="779" t="s">
        <v>686</v>
      </c>
      <c r="E29" s="804">
        <f>E12+E20</f>
        <v>672.92000000000007</v>
      </c>
      <c r="F29" s="793" t="s">
        <v>687</v>
      </c>
      <c r="G29" s="772"/>
    </row>
    <row r="30" spans="2:8" s="1" customFormat="1" x14ac:dyDescent="0.25">
      <c r="B30" s="779" t="s">
        <v>714</v>
      </c>
      <c r="C30" s="803" t="s">
        <v>692</v>
      </c>
      <c r="D30" s="779" t="s">
        <v>686</v>
      </c>
      <c r="E30" s="804">
        <f>E13+E21</f>
        <v>8.2899999999999991</v>
      </c>
      <c r="F30" s="793" t="s">
        <v>687</v>
      </c>
      <c r="G30" s="772"/>
    </row>
    <row r="31" spans="2:8" s="1" customFormat="1" ht="15.75" thickBot="1" x14ac:dyDescent="0.3">
      <c r="B31" s="805" t="s">
        <v>715</v>
      </c>
      <c r="C31" s="806" t="s">
        <v>694</v>
      </c>
      <c r="D31" s="805" t="s">
        <v>686</v>
      </c>
      <c r="E31" s="804">
        <f t="shared" ref="E31" si="0">E14+E22</f>
        <v>9.5</v>
      </c>
      <c r="F31" s="807" t="s">
        <v>687</v>
      </c>
    </row>
    <row r="32" spans="2:8" s="1" customFormat="1" ht="21" customHeight="1" x14ac:dyDescent="0.25">
      <c r="B32" s="773" t="s">
        <v>140</v>
      </c>
      <c r="C32" s="808" t="s">
        <v>716</v>
      </c>
      <c r="D32" s="773" t="s">
        <v>686</v>
      </c>
      <c r="E32" s="802">
        <f>E33+E34+E35</f>
        <v>893.22</v>
      </c>
      <c r="F32" s="809" t="s">
        <v>687</v>
      </c>
    </row>
    <row r="33" spans="2:6" s="1" customFormat="1" x14ac:dyDescent="0.25">
      <c r="B33" s="779" t="s">
        <v>717</v>
      </c>
      <c r="C33" s="803" t="s">
        <v>718</v>
      </c>
      <c r="D33" s="779" t="s">
        <v>686</v>
      </c>
      <c r="E33" s="810">
        <f>E15+E23</f>
        <v>187.5</v>
      </c>
      <c r="F33" s="795" t="s">
        <v>687</v>
      </c>
    </row>
    <row r="34" spans="2:6" s="1" customFormat="1" x14ac:dyDescent="0.25">
      <c r="B34" s="779" t="s">
        <v>719</v>
      </c>
      <c r="C34" s="803" t="s">
        <v>698</v>
      </c>
      <c r="D34" s="779" t="s">
        <v>686</v>
      </c>
      <c r="E34" s="810">
        <f t="shared" ref="E34" si="1">E16+E24</f>
        <v>704.22</v>
      </c>
      <c r="F34" s="795" t="s">
        <v>687</v>
      </c>
    </row>
    <row r="35" spans="2:6" s="1" customFormat="1" ht="15.75" thickBot="1" x14ac:dyDescent="0.3">
      <c r="B35" s="805" t="s">
        <v>720</v>
      </c>
      <c r="C35" s="806" t="s">
        <v>700</v>
      </c>
      <c r="D35" s="805" t="s">
        <v>686</v>
      </c>
      <c r="E35" s="810">
        <f>E17+E25</f>
        <v>1.5</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0</v>
      </c>
      <c r="F37" s="813" t="s">
        <v>687</v>
      </c>
    </row>
    <row r="38" spans="2:6" s="1" customFormat="1" ht="15.75" thickBot="1" x14ac:dyDescent="0.3">
      <c r="B38" s="767" t="s">
        <v>724</v>
      </c>
      <c r="C38" s="815" t="s">
        <v>725</v>
      </c>
      <c r="D38" s="767" t="s">
        <v>686</v>
      </c>
      <c r="E38" s="816">
        <v>46.33</v>
      </c>
      <c r="F38" s="813" t="s">
        <v>726</v>
      </c>
    </row>
    <row r="39" spans="2:6" s="1" customFormat="1" ht="15.75" thickBot="1" x14ac:dyDescent="0.3">
      <c r="B39" s="817" t="s">
        <v>59</v>
      </c>
      <c r="C39" s="818" t="s">
        <v>727</v>
      </c>
      <c r="D39" s="817" t="s">
        <v>686</v>
      </c>
      <c r="E39" s="819">
        <v>0</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1630.26</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0.53737317303041487</v>
      </c>
      <c r="F43" s="777"/>
    </row>
    <row r="44" spans="2:6" s="1" customFormat="1" x14ac:dyDescent="0.25">
      <c r="B44" s="779" t="s">
        <v>734</v>
      </c>
      <c r="C44" s="803" t="s">
        <v>735</v>
      </c>
      <c r="D44" s="827" t="s">
        <v>736</v>
      </c>
      <c r="E44" s="804">
        <f>VAS078_F_Vidutinissvert1AtaskaitinisLaikotarpis</f>
        <v>39.6</v>
      </c>
      <c r="F44" s="804" t="s">
        <v>737</v>
      </c>
    </row>
    <row r="45" spans="2:6" s="1" customFormat="1" x14ac:dyDescent="0.25">
      <c r="B45" s="805" t="s">
        <v>738</v>
      </c>
      <c r="C45" s="806" t="s">
        <v>739</v>
      </c>
      <c r="D45" s="828" t="s">
        <v>736</v>
      </c>
      <c r="E45" s="829">
        <f>VAS078_F_Vidutinissvert3AtaskaitinisLaikotarpis</f>
        <v>39.6</v>
      </c>
      <c r="F45" s="829" t="s">
        <v>737</v>
      </c>
    </row>
    <row r="46" spans="2:6" s="1" customFormat="1" ht="15.75" thickBot="1" x14ac:dyDescent="0.3">
      <c r="B46" s="779" t="s">
        <v>740</v>
      </c>
      <c r="C46" s="803" t="s">
        <v>741</v>
      </c>
      <c r="D46" s="779" t="s">
        <v>742</v>
      </c>
      <c r="E46" s="804">
        <f>VAS077_F_Patiektogeriam1AtaskaitinisLaikotarpis</f>
        <v>1022.7</v>
      </c>
      <c r="F46" s="804" t="s">
        <v>743</v>
      </c>
    </row>
    <row r="47" spans="2:6" s="5" customFormat="1" x14ac:dyDescent="0.25">
      <c r="B47" s="773" t="s">
        <v>744</v>
      </c>
      <c r="C47" s="801" t="s">
        <v>745</v>
      </c>
      <c r="D47" s="773" t="s">
        <v>746</v>
      </c>
      <c r="E47" s="826">
        <f>IF(E48=0,"0",E21/E49)</f>
        <v>2.6342548458849695E-2</v>
      </c>
      <c r="F47" s="777"/>
    </row>
    <row r="48" spans="2:6" s="1" customFormat="1" x14ac:dyDescent="0.25">
      <c r="B48" s="779" t="s">
        <v>747</v>
      </c>
      <c r="C48" s="803" t="s">
        <v>748</v>
      </c>
      <c r="D48" s="827" t="s">
        <v>736</v>
      </c>
      <c r="E48" s="804">
        <f>VAS078_F_Vidutinissvert2AtaskaitinisLaikotarpis</f>
        <v>44.5</v>
      </c>
      <c r="F48" s="804" t="s">
        <v>737</v>
      </c>
    </row>
    <row r="49" spans="2:6" s="1" customFormat="1" ht="15.75" thickBot="1" x14ac:dyDescent="0.3">
      <c r="B49" s="779" t="s">
        <v>749</v>
      </c>
      <c r="C49" s="803" t="s">
        <v>750</v>
      </c>
      <c r="D49" s="779" t="s">
        <v>742</v>
      </c>
      <c r="E49" s="804">
        <f>VAS077_F_Paruostogeriam1AtaskaitinisLaikotarpis</f>
        <v>314.7</v>
      </c>
      <c r="F49" s="804" t="s">
        <v>743</v>
      </c>
    </row>
    <row r="50" spans="2:6" s="5" customFormat="1" x14ac:dyDescent="0.25">
      <c r="B50" s="773" t="s">
        <v>751</v>
      </c>
      <c r="C50" s="801" t="s">
        <v>752</v>
      </c>
      <c r="D50" s="773" t="s">
        <v>733</v>
      </c>
      <c r="E50" s="826">
        <f>IF(E51=0,"0",((E23*100)/E53)/E51)</f>
        <v>1.7363136810405659</v>
      </c>
      <c r="F50" s="777"/>
    </row>
    <row r="51" spans="2:6" s="1" customFormat="1" x14ac:dyDescent="0.25">
      <c r="B51" s="779" t="s">
        <v>753</v>
      </c>
      <c r="C51" s="803" t="s">
        <v>754</v>
      </c>
      <c r="D51" s="827" t="s">
        <v>736</v>
      </c>
      <c r="E51" s="804">
        <f>VAS078_F_Vidutinissvert4AtaskaitinisLaikotarpis</f>
        <v>10.199999999999999</v>
      </c>
      <c r="F51" s="804" t="s">
        <v>737</v>
      </c>
    </row>
    <row r="52" spans="2:6" s="1" customFormat="1" x14ac:dyDescent="0.25">
      <c r="B52" s="779" t="s">
        <v>755</v>
      </c>
      <c r="C52" s="803" t="s">
        <v>756</v>
      </c>
      <c r="D52" s="779" t="s">
        <v>742</v>
      </c>
      <c r="E52" s="804">
        <f>VAS077_F_Surinktabuitin1AtaskaitinisLaikotarpis</f>
        <v>1060.7</v>
      </c>
      <c r="F52" s="804" t="s">
        <v>743</v>
      </c>
    </row>
    <row r="53" spans="2:6" s="5" customFormat="1" ht="15.75" thickBot="1" x14ac:dyDescent="0.3">
      <c r="B53" s="779" t="s">
        <v>757</v>
      </c>
      <c r="C53" s="803" t="s">
        <v>758</v>
      </c>
      <c r="D53" s="779" t="s">
        <v>742</v>
      </c>
      <c r="E53" s="804">
        <f>VAS077_F_Perpumpuotasbu1AtaskaitinisLaikotarpis</f>
        <v>1058.7</v>
      </c>
      <c r="F53" s="804" t="s">
        <v>743</v>
      </c>
    </row>
    <row r="54" spans="2:6" s="5" customFormat="1" x14ac:dyDescent="0.25">
      <c r="B54" s="773" t="s">
        <v>759</v>
      </c>
      <c r="C54" s="801" t="s">
        <v>760</v>
      </c>
      <c r="D54" s="773" t="s">
        <v>761</v>
      </c>
      <c r="E54" s="826">
        <f>IF(E55=0,"0",((E24*1000)/E55))</f>
        <v>2291.8485179366921</v>
      </c>
      <c r="F54" s="777"/>
    </row>
    <row r="55" spans="2:6" s="1" customFormat="1" ht="15.75" thickBot="1" x14ac:dyDescent="0.3">
      <c r="B55" s="779" t="s">
        <v>762</v>
      </c>
      <c r="C55" s="803" t="s">
        <v>763</v>
      </c>
      <c r="D55" s="827" t="s">
        <v>764</v>
      </c>
      <c r="E55" s="804">
        <f>VAS078_F_Pagalbiochemin3AtaskaitinisLaikotarpis</f>
        <v>289.46502999999996</v>
      </c>
      <c r="F55" s="804" t="s">
        <v>737</v>
      </c>
    </row>
    <row r="56" spans="2:6" s="1" customFormat="1" x14ac:dyDescent="0.25">
      <c r="B56" s="773" t="s">
        <v>765</v>
      </c>
      <c r="C56" s="801" t="s">
        <v>766</v>
      </c>
      <c r="D56" s="773" t="s">
        <v>767</v>
      </c>
      <c r="E56" s="777">
        <f>IFERROR(E57/(E27-E40), 0)</f>
        <v>9.6352729012550153E-2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157.08000000000001</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2cG9CV8A40InKJ/dyGGL1f4t9fBQmDfh6VIVBvl1aka435JXyltu3Uh3D4YXo74Tjob5rmYvYAxf3A+ve7HPZA==" saltValue="s0K+mB9YcFEuIVyGx7582hVkoD9JcedR29tdIu0udmr+MkviUoX2pL5+m3UwUOCq0r1h1vV0T5H3m1Rrvp4IdQ=="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topLeftCell="A4" workbookViewId="0">
      <selection activeCell="E40" sqref="E40"/>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1" t="s">
        <v>0</v>
      </c>
      <c r="B1" s="1342"/>
      <c r="C1" s="1342"/>
      <c r="D1" s="1342"/>
      <c r="E1" s="1342"/>
      <c r="F1" s="1343"/>
    </row>
    <row r="2" spans="1:11" s="1" customFormat="1" x14ac:dyDescent="0.25">
      <c r="A2" s="1341" t="s">
        <v>1</v>
      </c>
      <c r="B2" s="1342"/>
      <c r="C2" s="1342"/>
      <c r="D2" s="1342"/>
      <c r="E2" s="1342"/>
      <c r="F2" s="1343"/>
    </row>
    <row r="3" spans="1:11" s="1" customFormat="1" x14ac:dyDescent="0.25">
      <c r="A3" s="1344"/>
      <c r="B3" s="1345"/>
      <c r="C3" s="1345"/>
      <c r="D3" s="1345"/>
      <c r="E3" s="1345"/>
      <c r="F3" s="1346"/>
    </row>
    <row r="4" spans="1:11" s="1" customFormat="1" x14ac:dyDescent="0.25">
      <c r="A4" s="836"/>
      <c r="B4" s="836"/>
      <c r="C4" s="836"/>
      <c r="D4" s="836"/>
      <c r="E4" s="836"/>
      <c r="F4" s="836"/>
    </row>
    <row r="5" spans="1:11" s="1" customFormat="1" x14ac:dyDescent="0.25">
      <c r="A5" s="1347" t="s">
        <v>772</v>
      </c>
      <c r="B5" s="1348"/>
      <c r="C5" s="1348"/>
      <c r="D5" s="1348"/>
      <c r="E5" s="1348"/>
      <c r="F5" s="1349"/>
    </row>
    <row r="6" spans="1:11" s="1" customFormat="1" x14ac:dyDescent="0.25">
      <c r="A6" s="836"/>
      <c r="B6" s="836"/>
      <c r="C6" s="836"/>
      <c r="D6" s="836"/>
      <c r="E6" s="836"/>
      <c r="F6" s="836"/>
    </row>
    <row r="8" spans="1:11" s="1" customFormat="1" ht="15.75" thickBot="1" x14ac:dyDescent="0.3">
      <c r="B8" s="1340" t="s">
        <v>773</v>
      </c>
      <c r="C8" s="1340"/>
      <c r="D8" s="1340"/>
      <c r="E8" s="1340"/>
      <c r="F8" s="1340"/>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56.220000000000006</v>
      </c>
      <c r="F10" s="839"/>
      <c r="G10" s="840"/>
    </row>
    <row r="11" spans="1:11" s="1" customFormat="1" ht="15.75" thickBot="1" x14ac:dyDescent="0.3">
      <c r="B11" s="842" t="s">
        <v>776</v>
      </c>
      <c r="C11" s="842" t="s">
        <v>777</v>
      </c>
      <c r="D11" s="842" t="s">
        <v>775</v>
      </c>
      <c r="E11" s="843">
        <f>E13+E17+E21+E22+E23+E24</f>
        <v>55.660000000000004</v>
      </c>
      <c r="F11" s="844"/>
      <c r="G11" s="845"/>
    </row>
    <row r="12" spans="1:11" s="1" customFormat="1" ht="15.75" thickBot="1" x14ac:dyDescent="0.3">
      <c r="B12" s="846" t="s">
        <v>778</v>
      </c>
      <c r="C12" s="846" t="s">
        <v>779</v>
      </c>
      <c r="D12" s="846" t="s">
        <v>775</v>
      </c>
      <c r="E12" s="847">
        <f>E13+E17+E22+E21</f>
        <v>38.86</v>
      </c>
      <c r="F12" s="848"/>
      <c r="G12" s="840"/>
    </row>
    <row r="13" spans="1:11" s="1" customFormat="1" ht="18.75" customHeight="1" x14ac:dyDescent="0.25">
      <c r="B13" s="849" t="s">
        <v>138</v>
      </c>
      <c r="C13" s="849" t="s">
        <v>712</v>
      </c>
      <c r="D13" s="850" t="s">
        <v>775</v>
      </c>
      <c r="E13" s="851">
        <f>SUM(E14:E16)</f>
        <v>11.66</v>
      </c>
      <c r="F13" s="852"/>
      <c r="G13" s="840"/>
    </row>
    <row r="14" spans="1:11" s="1" customFormat="1" x14ac:dyDescent="0.25">
      <c r="B14" s="853" t="s">
        <v>713</v>
      </c>
      <c r="C14" s="854" t="s">
        <v>690</v>
      </c>
      <c r="D14" s="853" t="s">
        <v>775</v>
      </c>
      <c r="E14" s="855">
        <v>1.9</v>
      </c>
      <c r="F14" s="856"/>
      <c r="G14" s="840"/>
    </row>
    <row r="15" spans="1:11" s="1" customFormat="1" x14ac:dyDescent="0.25">
      <c r="B15" s="853" t="s">
        <v>714</v>
      </c>
      <c r="C15" s="854" t="s">
        <v>692</v>
      </c>
      <c r="D15" s="853" t="s">
        <v>775</v>
      </c>
      <c r="E15" s="855">
        <v>1</v>
      </c>
      <c r="F15" s="856"/>
      <c r="G15" s="840"/>
      <c r="K15" s="857"/>
    </row>
    <row r="16" spans="1:11" s="1" customFormat="1" ht="15.75" thickBot="1" x14ac:dyDescent="0.3">
      <c r="B16" s="858" t="s">
        <v>715</v>
      </c>
      <c r="C16" s="859" t="s">
        <v>694</v>
      </c>
      <c r="D16" s="858" t="s">
        <v>775</v>
      </c>
      <c r="E16" s="860">
        <v>8.76</v>
      </c>
      <c r="F16" s="861"/>
    </row>
    <row r="17" spans="2:6" s="1" customFormat="1" ht="23.25" customHeight="1" x14ac:dyDescent="0.25">
      <c r="B17" s="862" t="s">
        <v>140</v>
      </c>
      <c r="C17" s="862" t="s">
        <v>716</v>
      </c>
      <c r="D17" s="863" t="s">
        <v>775</v>
      </c>
      <c r="E17" s="864">
        <f>SUM(E18:E20)</f>
        <v>17.489999999999998</v>
      </c>
      <c r="F17" s="865"/>
    </row>
    <row r="18" spans="2:6" s="1" customFormat="1" x14ac:dyDescent="0.25">
      <c r="B18" s="853" t="s">
        <v>717</v>
      </c>
      <c r="C18" s="854" t="s">
        <v>718</v>
      </c>
      <c r="D18" s="853" t="s">
        <v>775</v>
      </c>
      <c r="E18" s="855">
        <v>7.03</v>
      </c>
      <c r="F18" s="856"/>
    </row>
    <row r="19" spans="2:6" s="1" customFormat="1" x14ac:dyDescent="0.25">
      <c r="B19" s="853" t="s">
        <v>719</v>
      </c>
      <c r="C19" s="854" t="s">
        <v>698</v>
      </c>
      <c r="D19" s="853" t="s">
        <v>775</v>
      </c>
      <c r="E19" s="855">
        <v>8.94</v>
      </c>
      <c r="F19" s="856"/>
    </row>
    <row r="20" spans="2:6" s="1" customFormat="1" ht="15.75" thickBot="1" x14ac:dyDescent="0.3">
      <c r="B20" s="853" t="s">
        <v>720</v>
      </c>
      <c r="C20" s="854" t="s">
        <v>700</v>
      </c>
      <c r="D20" s="853" t="s">
        <v>775</v>
      </c>
      <c r="E20" s="855">
        <v>1.52</v>
      </c>
      <c r="F20" s="856"/>
    </row>
    <row r="21" spans="2:6" s="1" customFormat="1" ht="15.75" thickBot="1" x14ac:dyDescent="0.3">
      <c r="B21" s="866" t="s">
        <v>607</v>
      </c>
      <c r="C21" s="866" t="s">
        <v>721</v>
      </c>
      <c r="D21" s="867" t="s">
        <v>775</v>
      </c>
      <c r="E21" s="868">
        <v>0.95</v>
      </c>
      <c r="F21" s="839"/>
    </row>
    <row r="22" spans="2:6" s="1" customFormat="1" ht="15.75" thickBot="1" x14ac:dyDescent="0.3">
      <c r="B22" s="866" t="s">
        <v>722</v>
      </c>
      <c r="C22" s="869" t="s">
        <v>723</v>
      </c>
      <c r="D22" s="866" t="s">
        <v>775</v>
      </c>
      <c r="E22" s="868">
        <v>8.76</v>
      </c>
      <c r="F22" s="839"/>
    </row>
    <row r="23" spans="2:6" s="1" customFormat="1" ht="15.75" thickBot="1" x14ac:dyDescent="0.3">
      <c r="B23" s="837" t="s">
        <v>780</v>
      </c>
      <c r="C23" s="837" t="s">
        <v>781</v>
      </c>
      <c r="D23" s="837" t="s">
        <v>775</v>
      </c>
      <c r="E23" s="868">
        <v>6.24</v>
      </c>
      <c r="F23" s="839"/>
    </row>
    <row r="24" spans="2:6" s="1" customFormat="1" ht="15.75" thickBot="1" x14ac:dyDescent="0.3">
      <c r="B24" s="837" t="s">
        <v>302</v>
      </c>
      <c r="C24" s="870" t="s">
        <v>782</v>
      </c>
      <c r="D24" s="837" t="s">
        <v>775</v>
      </c>
      <c r="E24" s="868">
        <v>10.56</v>
      </c>
      <c r="F24" s="839"/>
    </row>
    <row r="25" spans="2:6" s="1" customFormat="1" ht="15.75" thickBot="1" x14ac:dyDescent="0.3">
      <c r="B25" s="846" t="s">
        <v>783</v>
      </c>
      <c r="C25" s="846" t="s">
        <v>784</v>
      </c>
      <c r="D25" s="846" t="s">
        <v>775</v>
      </c>
      <c r="E25" s="871">
        <v>0.56000000000000005</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1113.2790165809033</v>
      </c>
      <c r="F27" s="877"/>
    </row>
    <row r="28" spans="2:6" s="1" customFormat="1" ht="15.75" thickBot="1" x14ac:dyDescent="0.3">
      <c r="B28" s="878" t="s">
        <v>790</v>
      </c>
      <c r="C28" s="879" t="s">
        <v>791</v>
      </c>
      <c r="D28" s="878" t="s">
        <v>770</v>
      </c>
      <c r="E28" s="880">
        <f>VAS073_F_Darbouzmokesci23IsViso</f>
        <v>155.76999999999998</v>
      </c>
      <c r="F28" s="881" t="s">
        <v>148</v>
      </c>
    </row>
    <row r="29" spans="2:6" s="1" customFormat="1" x14ac:dyDescent="0.25">
      <c r="B29" s="862" t="s">
        <v>69</v>
      </c>
      <c r="C29" s="850" t="s">
        <v>792</v>
      </c>
      <c r="D29" s="850" t="s">
        <v>789</v>
      </c>
      <c r="E29" s="882">
        <f>IFERROR(E30/E17/12*1000, 0)</f>
        <v>1154.5645130550793</v>
      </c>
      <c r="F29" s="883"/>
    </row>
    <row r="30" spans="2:6" s="1" customFormat="1" ht="15.75" thickBot="1" x14ac:dyDescent="0.3">
      <c r="B30" s="884" t="s">
        <v>580</v>
      </c>
      <c r="C30" s="879" t="s">
        <v>793</v>
      </c>
      <c r="D30" s="878" t="s">
        <v>770</v>
      </c>
      <c r="E30" s="885">
        <f>VAS073_F_Darbouzmokesci24IsViso</f>
        <v>242.32000000000002</v>
      </c>
      <c r="F30" s="881" t="s">
        <v>148</v>
      </c>
    </row>
    <row r="31" spans="2:6" s="1" customFormat="1" x14ac:dyDescent="0.25">
      <c r="B31" s="846" t="s">
        <v>71</v>
      </c>
      <c r="C31" s="886" t="s">
        <v>794</v>
      </c>
      <c r="D31" s="850" t="s">
        <v>789</v>
      </c>
      <c r="E31" s="887">
        <f>IFERROR(E32/E21/12*1000, 0)</f>
        <v>1307.8947368421054</v>
      </c>
      <c r="F31" s="883"/>
    </row>
    <row r="32" spans="2:6" s="1" customFormat="1" ht="15.75" thickBot="1" x14ac:dyDescent="0.3">
      <c r="B32" s="884" t="s">
        <v>795</v>
      </c>
      <c r="C32" s="879" t="s">
        <v>796</v>
      </c>
      <c r="D32" s="878" t="s">
        <v>770</v>
      </c>
      <c r="E32" s="885">
        <f>VAS073_F_Darbouzmokesci25PavirsiniuNuoteku</f>
        <v>14.91</v>
      </c>
      <c r="F32" s="881" t="s">
        <v>148</v>
      </c>
    </row>
    <row r="33" spans="2:6" s="1" customFormat="1" x14ac:dyDescent="0.25">
      <c r="B33" s="850" t="s">
        <v>73</v>
      </c>
      <c r="C33" s="888" t="s">
        <v>797</v>
      </c>
      <c r="D33" s="846" t="s">
        <v>789</v>
      </c>
      <c r="E33" s="889">
        <f>IFERROR(E34/E22/12*1000, 0)</f>
        <v>816.54299847792993</v>
      </c>
      <c r="F33" s="890"/>
    </row>
    <row r="34" spans="2:6" s="1" customFormat="1" ht="15.75" thickBot="1" x14ac:dyDescent="0.3">
      <c r="B34" s="884" t="s">
        <v>798</v>
      </c>
      <c r="C34" s="879" t="s">
        <v>799</v>
      </c>
      <c r="D34" s="878" t="s">
        <v>770</v>
      </c>
      <c r="E34" s="885">
        <f>VAS073_F_Darbouzmokesci22ApskaitosVeikla</f>
        <v>85.834999999999994</v>
      </c>
      <c r="F34" s="881" t="s">
        <v>148</v>
      </c>
    </row>
    <row r="35" spans="2:6" s="1" customFormat="1" x14ac:dyDescent="0.25">
      <c r="B35" s="850" t="s">
        <v>75</v>
      </c>
      <c r="C35" s="863" t="s">
        <v>800</v>
      </c>
      <c r="D35" s="850" t="s">
        <v>789</v>
      </c>
      <c r="E35" s="891">
        <f>IFERROR(E36/E23/12*1000, 0)</f>
        <v>1010.8173076923077</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75.69</v>
      </c>
      <c r="F36" s="881" t="s">
        <v>148</v>
      </c>
    </row>
    <row r="37" spans="2:6" s="1" customFormat="1" x14ac:dyDescent="0.25">
      <c r="B37" s="850" t="s">
        <v>466</v>
      </c>
      <c r="C37" s="863" t="s">
        <v>803</v>
      </c>
      <c r="D37" s="850" t="s">
        <v>789</v>
      </c>
      <c r="E37" s="891">
        <f>IFERROR(E38/E24/12*1000, 0)</f>
        <v>1817.1131927851425</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230.26458378973328</v>
      </c>
      <c r="F38" s="881" t="s">
        <v>148</v>
      </c>
    </row>
    <row r="39" spans="2:6" s="1" customFormat="1" ht="15.75" thickBot="1" x14ac:dyDescent="0.3">
      <c r="B39" s="892" t="s">
        <v>470</v>
      </c>
      <c r="C39" s="893" t="s">
        <v>806</v>
      </c>
      <c r="D39" s="894" t="s">
        <v>789</v>
      </c>
      <c r="E39" s="895">
        <f>IFERROR((E28+E30+E32+E34+E36+E38)/E11/12*1000, 0)</f>
        <v>1204.9191277244779</v>
      </c>
      <c r="F39" s="896"/>
    </row>
    <row r="40" spans="2:6" s="1" customFormat="1" ht="26.25" thickBot="1" x14ac:dyDescent="0.3">
      <c r="B40" s="837" t="s">
        <v>474</v>
      </c>
      <c r="C40" s="897" t="s">
        <v>807</v>
      </c>
      <c r="D40" s="837" t="s">
        <v>775</v>
      </c>
      <c r="E40" s="898">
        <f>IFERROR((E12+E23)/E24, 0)</f>
        <v>4.270833333333333</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cYLW9l/2FUmq8oMJmDRhRipG92ruMdoY2os4Cbeof8TYUwHZaifoB59Z0sjcrLkvmPoBRqRatEnbjcbKTJXqGg==" saltValue="xUy07Zouu3FSIujYSsWL2JNeiIKKD73IoNwideVCZnu+PNDJPiszZZGmHz4Ey6Za655Rn91Lonlau+cVq2nzWQ=="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topLeftCell="A47" workbookViewId="0">
      <selection activeCell="E61" sqref="E61"/>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50" t="s">
        <v>0</v>
      </c>
      <c r="B1" s="1351"/>
      <c r="C1" s="1351"/>
      <c r="D1" s="1351"/>
      <c r="E1" s="1352"/>
    </row>
    <row r="2" spans="1:7" s="1" customFormat="1" x14ac:dyDescent="0.25">
      <c r="A2" s="1350" t="s">
        <v>1</v>
      </c>
      <c r="B2" s="1351"/>
      <c r="C2" s="1351"/>
      <c r="D2" s="1351"/>
      <c r="E2" s="1352"/>
    </row>
    <row r="3" spans="1:7" s="1" customFormat="1" x14ac:dyDescent="0.25">
      <c r="A3" s="1353"/>
      <c r="B3" s="1354"/>
      <c r="C3" s="1354"/>
      <c r="D3" s="1354"/>
      <c r="E3" s="1355"/>
    </row>
    <row r="4" spans="1:7" s="1" customFormat="1" x14ac:dyDescent="0.25">
      <c r="A4" s="901"/>
      <c r="B4" s="901"/>
      <c r="C4" s="901"/>
      <c r="D4" s="901"/>
      <c r="E4" s="901"/>
    </row>
    <row r="5" spans="1:7" s="1" customFormat="1" x14ac:dyDescent="0.25">
      <c r="A5" s="1356" t="s">
        <v>808</v>
      </c>
      <c r="B5" s="1357"/>
      <c r="C5" s="1357"/>
      <c r="D5" s="1357"/>
      <c r="E5" s="1358"/>
    </row>
    <row r="6" spans="1:7" s="1" customFormat="1" x14ac:dyDescent="0.25">
      <c r="A6" s="901"/>
      <c r="B6" s="901"/>
      <c r="C6" s="901"/>
      <c r="D6" s="901"/>
      <c r="E6" s="901"/>
    </row>
    <row r="8" spans="1:7" s="1" customFormat="1" ht="27" customHeight="1" thickBot="1" x14ac:dyDescent="0.3">
      <c r="B8" s="1277" t="s">
        <v>809</v>
      </c>
      <c r="C8" s="1277"/>
      <c r="D8" s="1277"/>
      <c r="E8" s="1277"/>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1043.4000000000001</v>
      </c>
      <c r="F11" s="916"/>
      <c r="G11" s="907"/>
    </row>
    <row r="12" spans="1:7" s="1" customFormat="1" ht="15.75" thickBot="1" x14ac:dyDescent="0.3">
      <c r="B12" s="917">
        <v>2</v>
      </c>
      <c r="C12" s="918" t="s">
        <v>813</v>
      </c>
      <c r="D12" s="919" t="s">
        <v>742</v>
      </c>
      <c r="E12" s="920">
        <v>314.7</v>
      </c>
      <c r="F12" s="906"/>
      <c r="G12" s="907"/>
    </row>
    <row r="13" spans="1:7" s="1" customFormat="1" x14ac:dyDescent="0.25">
      <c r="B13" s="921">
        <v>3</v>
      </c>
      <c r="C13" s="922" t="s">
        <v>814</v>
      </c>
      <c r="D13" s="923" t="s">
        <v>742</v>
      </c>
      <c r="E13" s="924">
        <v>1022.7</v>
      </c>
      <c r="F13" s="906"/>
      <c r="G13" s="907"/>
    </row>
    <row r="14" spans="1:7" s="1" customFormat="1" x14ac:dyDescent="0.25">
      <c r="B14" s="925" t="s">
        <v>815</v>
      </c>
      <c r="C14" s="926" t="s">
        <v>816</v>
      </c>
      <c r="D14" s="927" t="s">
        <v>742</v>
      </c>
      <c r="E14" s="928">
        <v>190.6</v>
      </c>
      <c r="F14" s="929"/>
      <c r="G14" s="907"/>
    </row>
    <row r="15" spans="1:7" s="1" customFormat="1" ht="15.75" thickBot="1" x14ac:dyDescent="0.3">
      <c r="B15" s="930" t="s">
        <v>817</v>
      </c>
      <c r="C15" s="931" t="s">
        <v>818</v>
      </c>
      <c r="D15" s="932" t="s">
        <v>742</v>
      </c>
      <c r="E15" s="933">
        <v>0</v>
      </c>
      <c r="F15" s="929"/>
    </row>
    <row r="16" spans="1:7" s="1" customFormat="1" x14ac:dyDescent="0.25">
      <c r="B16" s="921" t="s">
        <v>819</v>
      </c>
      <c r="C16" s="922" t="s">
        <v>820</v>
      </c>
      <c r="D16" s="934" t="s">
        <v>742</v>
      </c>
      <c r="E16" s="935">
        <f>E17+E21+E23</f>
        <v>793.3</v>
      </c>
      <c r="F16" s="906"/>
    </row>
    <row r="17" spans="2:7" s="1" customFormat="1" x14ac:dyDescent="0.25">
      <c r="B17" s="936" t="s">
        <v>821</v>
      </c>
      <c r="C17" s="937" t="s">
        <v>822</v>
      </c>
      <c r="D17" s="938" t="s">
        <v>742</v>
      </c>
      <c r="E17" s="939">
        <f>E18+E20</f>
        <v>573.09999999999991</v>
      </c>
      <c r="F17" s="929"/>
    </row>
    <row r="18" spans="2:7" s="1" customFormat="1" x14ac:dyDescent="0.25">
      <c r="B18" s="925" t="s">
        <v>823</v>
      </c>
      <c r="C18" s="926" t="s">
        <v>824</v>
      </c>
      <c r="D18" s="927" t="s">
        <v>742</v>
      </c>
      <c r="E18" s="940">
        <v>185.2</v>
      </c>
      <c r="F18" s="941"/>
    </row>
    <row r="19" spans="2:7" s="1" customFormat="1" x14ac:dyDescent="0.25">
      <c r="B19" s="942" t="s">
        <v>825</v>
      </c>
      <c r="C19" s="943" t="s">
        <v>818</v>
      </c>
      <c r="D19" s="944" t="s">
        <v>742</v>
      </c>
      <c r="E19" s="940">
        <v>0</v>
      </c>
      <c r="F19" s="945"/>
    </row>
    <row r="20" spans="2:7" s="1" customFormat="1" x14ac:dyDescent="0.25">
      <c r="B20" s="925" t="s">
        <v>826</v>
      </c>
      <c r="C20" s="926" t="s">
        <v>827</v>
      </c>
      <c r="D20" s="927" t="s">
        <v>742</v>
      </c>
      <c r="E20" s="940">
        <v>387.9</v>
      </c>
      <c r="F20" s="946"/>
    </row>
    <row r="21" spans="2:7" s="1" customFormat="1" x14ac:dyDescent="0.25">
      <c r="B21" s="936" t="s">
        <v>828</v>
      </c>
      <c r="C21" s="937" t="s">
        <v>829</v>
      </c>
      <c r="D21" s="938" t="s">
        <v>742</v>
      </c>
      <c r="E21" s="947">
        <v>220.2</v>
      </c>
      <c r="F21" s="929"/>
    </row>
    <row r="22" spans="2:7" s="1" customFormat="1" x14ac:dyDescent="0.25">
      <c r="B22" s="925" t="s">
        <v>830</v>
      </c>
      <c r="C22" s="926" t="s">
        <v>831</v>
      </c>
      <c r="D22" s="927" t="s">
        <v>742</v>
      </c>
      <c r="E22" s="940">
        <v>53.8</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0.2</v>
      </c>
      <c r="F24" s="929"/>
      <c r="G24" s="952"/>
    </row>
    <row r="25" spans="2:7" s="1" customFormat="1" x14ac:dyDescent="0.25">
      <c r="B25" s="953" t="s">
        <v>836</v>
      </c>
      <c r="C25" s="954" t="s">
        <v>837</v>
      </c>
      <c r="D25" s="955" t="s">
        <v>742</v>
      </c>
      <c r="E25" s="956">
        <f>E11-E16-E24</f>
        <v>249.90000000000015</v>
      </c>
      <c r="F25" s="906"/>
    </row>
    <row r="26" spans="2:7" s="1" customFormat="1" x14ac:dyDescent="0.25">
      <c r="B26" s="957" t="s">
        <v>838</v>
      </c>
      <c r="C26" s="926" t="s">
        <v>839</v>
      </c>
      <c r="D26" s="927" t="s">
        <v>742</v>
      </c>
      <c r="E26" s="958">
        <f>E11-E13</f>
        <v>20.700000000000045</v>
      </c>
      <c r="F26" s="907"/>
      <c r="G26" s="959"/>
    </row>
    <row r="27" spans="2:7" s="1" customFormat="1" x14ac:dyDescent="0.25">
      <c r="B27" s="957" t="s">
        <v>840</v>
      </c>
      <c r="C27" s="926" t="s">
        <v>841</v>
      </c>
      <c r="D27" s="927" t="s">
        <v>742</v>
      </c>
      <c r="E27" s="958">
        <f>E13-E16-E24-E29</f>
        <v>223.8000000000001</v>
      </c>
      <c r="F27" s="907"/>
      <c r="G27" s="959"/>
    </row>
    <row r="28" spans="2:7" s="1" customFormat="1" x14ac:dyDescent="0.25">
      <c r="B28" s="925" t="s">
        <v>842</v>
      </c>
      <c r="C28" s="926" t="s">
        <v>843</v>
      </c>
      <c r="D28" s="927" t="s">
        <v>742</v>
      </c>
      <c r="E28" s="960">
        <f>$E$14-$E$18</f>
        <v>5.4000000000000057</v>
      </c>
      <c r="F28" s="906"/>
    </row>
    <row r="29" spans="2:7" s="1" customFormat="1" x14ac:dyDescent="0.25">
      <c r="B29" s="942" t="s">
        <v>844</v>
      </c>
      <c r="C29" s="943" t="s">
        <v>845</v>
      </c>
      <c r="D29" s="944" t="s">
        <v>742</v>
      </c>
      <c r="E29" s="961">
        <f>$E$14-$E$18</f>
        <v>5.4000000000000057</v>
      </c>
      <c r="F29" s="906"/>
    </row>
    <row r="30" spans="2:7" s="1" customFormat="1" ht="15.75" thickBot="1" x14ac:dyDescent="0.3">
      <c r="B30" s="942" t="s">
        <v>846</v>
      </c>
      <c r="C30" s="962" t="s">
        <v>847</v>
      </c>
      <c r="D30" s="963" t="s">
        <v>742</v>
      </c>
      <c r="E30" s="964">
        <f>E15-E19</f>
        <v>0</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1060.7</v>
      </c>
      <c r="F32" s="906"/>
    </row>
    <row r="33" spans="2:6" s="1" customFormat="1" x14ac:dyDescent="0.25">
      <c r="B33" s="925" t="s">
        <v>851</v>
      </c>
      <c r="C33" s="926" t="s">
        <v>852</v>
      </c>
      <c r="D33" s="927" t="s">
        <v>742</v>
      </c>
      <c r="E33" s="965">
        <v>1058.7</v>
      </c>
      <c r="F33" s="907"/>
    </row>
    <row r="34" spans="2:6" s="1" customFormat="1" ht="15.75" thickBot="1" x14ac:dyDescent="0.3">
      <c r="B34" s="925" t="s">
        <v>853</v>
      </c>
      <c r="C34" s="966" t="s">
        <v>854</v>
      </c>
      <c r="D34" s="927" t="s">
        <v>742</v>
      </c>
      <c r="E34" s="965">
        <v>2</v>
      </c>
      <c r="F34" s="907"/>
    </row>
    <row r="35" spans="2:6" s="1" customFormat="1" ht="26.25" thickBot="1" x14ac:dyDescent="0.3">
      <c r="B35" s="967" t="s">
        <v>855</v>
      </c>
      <c r="C35" s="968" t="s">
        <v>856</v>
      </c>
      <c r="D35" s="969" t="s">
        <v>742</v>
      </c>
      <c r="E35" s="970">
        <v>1058.7</v>
      </c>
      <c r="F35" s="971"/>
    </row>
    <row r="36" spans="2:6" s="1" customFormat="1" ht="15.75" thickBot="1" x14ac:dyDescent="0.3">
      <c r="B36" s="948" t="s">
        <v>857</v>
      </c>
      <c r="C36" s="949" t="s">
        <v>858</v>
      </c>
      <c r="D36" s="969" t="s">
        <v>742</v>
      </c>
      <c r="E36" s="951">
        <v>1060.7</v>
      </c>
      <c r="F36" s="906"/>
    </row>
    <row r="37" spans="2:6" s="1" customFormat="1" ht="15.75" thickBot="1" x14ac:dyDescent="0.3">
      <c r="B37" s="972" t="s">
        <v>859</v>
      </c>
      <c r="C37" s="973" t="s">
        <v>860</v>
      </c>
      <c r="D37" s="923" t="s">
        <v>742</v>
      </c>
      <c r="E37" s="974">
        <v>8.4</v>
      </c>
      <c r="F37" s="975"/>
    </row>
    <row r="38" spans="2:6" s="1" customFormat="1" ht="26.25" thickBot="1" x14ac:dyDescent="0.3">
      <c r="B38" s="976" t="s">
        <v>861</v>
      </c>
      <c r="C38" s="977" t="s">
        <v>862</v>
      </c>
      <c r="D38" s="978" t="s">
        <v>742</v>
      </c>
      <c r="E38" s="979">
        <f>E39+E43+E46</f>
        <v>589.79999999999995</v>
      </c>
      <c r="F38" s="907"/>
    </row>
    <row r="39" spans="2:6" s="1" customFormat="1" x14ac:dyDescent="0.25">
      <c r="B39" s="921" t="s">
        <v>863</v>
      </c>
      <c r="C39" s="922" t="s">
        <v>864</v>
      </c>
      <c r="D39" s="923" t="s">
        <v>742</v>
      </c>
      <c r="E39" s="935">
        <f>E40+E42</f>
        <v>383.1</v>
      </c>
      <c r="F39" s="929"/>
    </row>
    <row r="40" spans="2:6" s="1" customFormat="1" x14ac:dyDescent="0.25">
      <c r="B40" s="925" t="s">
        <v>865</v>
      </c>
      <c r="C40" s="926" t="s">
        <v>866</v>
      </c>
      <c r="D40" s="927" t="s">
        <v>742</v>
      </c>
      <c r="E40" s="965">
        <v>168.7</v>
      </c>
      <c r="F40" s="907"/>
    </row>
    <row r="41" spans="2:6" s="1" customFormat="1" x14ac:dyDescent="0.25">
      <c r="B41" s="942" t="s">
        <v>867</v>
      </c>
      <c r="C41" s="943" t="s">
        <v>868</v>
      </c>
      <c r="D41" s="944" t="s">
        <v>742</v>
      </c>
      <c r="E41" s="940">
        <v>0</v>
      </c>
      <c r="F41" s="945"/>
    </row>
    <row r="42" spans="2:6" s="1" customFormat="1" ht="15.75" thickBot="1" x14ac:dyDescent="0.3">
      <c r="B42" s="930" t="s">
        <v>869</v>
      </c>
      <c r="C42" s="931" t="s">
        <v>827</v>
      </c>
      <c r="D42" s="932" t="s">
        <v>742</v>
      </c>
      <c r="E42" s="933">
        <v>214.4</v>
      </c>
      <c r="F42" s="946"/>
    </row>
    <row r="43" spans="2:6" s="1" customFormat="1" x14ac:dyDescent="0.25">
      <c r="B43" s="921" t="s">
        <v>870</v>
      </c>
      <c r="C43" s="922" t="s">
        <v>871</v>
      </c>
      <c r="D43" s="923" t="s">
        <v>742</v>
      </c>
      <c r="E43" s="924">
        <v>206.7</v>
      </c>
      <c r="F43" s="929"/>
    </row>
    <row r="44" spans="2:6" s="1" customFormat="1" x14ac:dyDescent="0.25">
      <c r="B44" s="925" t="s">
        <v>872</v>
      </c>
      <c r="C44" s="980" t="s">
        <v>873</v>
      </c>
      <c r="D44" s="944" t="s">
        <v>742</v>
      </c>
      <c r="E44" s="965">
        <v>206.7</v>
      </c>
      <c r="F44" s="907"/>
    </row>
    <row r="45" spans="2:6" s="1" customFormat="1" ht="15.75" thickBot="1" x14ac:dyDescent="0.3">
      <c r="B45" s="981" t="s">
        <v>874</v>
      </c>
      <c r="C45" s="982" t="s">
        <v>875</v>
      </c>
      <c r="D45" s="932" t="s">
        <v>742</v>
      </c>
      <c r="E45" s="983">
        <v>206.7</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470.90000000000009</v>
      </c>
      <c r="F47" s="945"/>
    </row>
    <row r="48" spans="2:6" s="1" customFormat="1" x14ac:dyDescent="0.25">
      <c r="B48" s="925" t="s">
        <v>880</v>
      </c>
      <c r="C48" s="926" t="s">
        <v>881</v>
      </c>
      <c r="D48" s="927" t="s">
        <v>742</v>
      </c>
      <c r="E48" s="984">
        <f>E47-E49</f>
        <v>449.00000000000011</v>
      </c>
      <c r="F48" s="929"/>
    </row>
    <row r="49" spans="2:6" s="1" customFormat="1" x14ac:dyDescent="0.25">
      <c r="B49" s="925" t="s">
        <v>882</v>
      </c>
      <c r="C49" s="926" t="s">
        <v>883</v>
      </c>
      <c r="D49" s="927" t="s">
        <v>742</v>
      </c>
      <c r="E49" s="984">
        <f>E14-E40</f>
        <v>21.900000000000006</v>
      </c>
      <c r="F49" s="929"/>
    </row>
    <row r="50" spans="2:6" s="1" customFormat="1" ht="15.75" thickBot="1" x14ac:dyDescent="0.3">
      <c r="B50" s="930" t="s">
        <v>884</v>
      </c>
      <c r="C50" s="985" t="s">
        <v>885</v>
      </c>
      <c r="D50" s="932" t="s">
        <v>742</v>
      </c>
      <c r="E50" s="986">
        <v>0</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23.950546290971836</v>
      </c>
    </row>
    <row r="62" spans="2:6" s="1" customFormat="1" ht="15.75" thickBot="1" x14ac:dyDescent="0.3">
      <c r="B62" s="1002" t="s">
        <v>905</v>
      </c>
      <c r="C62" s="1003" t="s">
        <v>906</v>
      </c>
      <c r="D62" s="1003" t="s">
        <v>904</v>
      </c>
      <c r="E62" s="1004">
        <f>IF(E11=0,0,E26/E11*100)</f>
        <v>1.9838987924094349</v>
      </c>
    </row>
    <row r="63" spans="2:6" s="1" customFormat="1" ht="26.25" thickBot="1" x14ac:dyDescent="0.3">
      <c r="B63" s="999" t="s">
        <v>907</v>
      </c>
      <c r="C63" s="1000" t="s">
        <v>908</v>
      </c>
      <c r="D63" s="1000" t="s">
        <v>904</v>
      </c>
      <c r="E63" s="1001">
        <f>IF(E32=0,0,E47/E32*100)</f>
        <v>44.395210709908554</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35325</v>
      </c>
    </row>
    <row r="67" spans="2:6" s="1" customFormat="1" ht="15.75" thickBot="1" x14ac:dyDescent="0.3">
      <c r="B67" s="948" t="s">
        <v>914</v>
      </c>
      <c r="C67" s="950" t="s">
        <v>915</v>
      </c>
      <c r="D67" s="1009" t="s">
        <v>916</v>
      </c>
      <c r="E67" s="1010">
        <v>16821</v>
      </c>
    </row>
    <row r="68" spans="2:6" s="1" customFormat="1" x14ac:dyDescent="0.25">
      <c r="B68" s="921" t="s">
        <v>917</v>
      </c>
      <c r="C68" s="923" t="s">
        <v>918</v>
      </c>
      <c r="D68" s="934" t="s">
        <v>916</v>
      </c>
      <c r="E68" s="1011">
        <f>E69+E72+E73+E74+E75</f>
        <v>12127</v>
      </c>
    </row>
    <row r="69" spans="2:6" s="1" customFormat="1" x14ac:dyDescent="0.25">
      <c r="B69" s="981" t="s">
        <v>919</v>
      </c>
      <c r="C69" s="927" t="s">
        <v>920</v>
      </c>
      <c r="D69" s="927" t="s">
        <v>916</v>
      </c>
      <c r="E69" s="1012">
        <f>SUM(E70:E71)</f>
        <v>8616</v>
      </c>
    </row>
    <row r="70" spans="2:6" s="1" customFormat="1" x14ac:dyDescent="0.25">
      <c r="B70" s="942" t="s">
        <v>921</v>
      </c>
      <c r="C70" s="1013" t="s">
        <v>922</v>
      </c>
      <c r="D70" s="944" t="s">
        <v>916</v>
      </c>
      <c r="E70" s="1014">
        <v>5059</v>
      </c>
    </row>
    <row r="71" spans="2:6" s="1" customFormat="1" x14ac:dyDescent="0.25">
      <c r="B71" s="942" t="s">
        <v>923</v>
      </c>
      <c r="C71" s="1013" t="s">
        <v>924</v>
      </c>
      <c r="D71" s="944" t="s">
        <v>916</v>
      </c>
      <c r="E71" s="1014">
        <v>3557</v>
      </c>
    </row>
    <row r="72" spans="2:6" s="1" customFormat="1" x14ac:dyDescent="0.25">
      <c r="B72" s="925" t="s">
        <v>925</v>
      </c>
      <c r="C72" s="927" t="s">
        <v>926</v>
      </c>
      <c r="D72" s="927" t="s">
        <v>916</v>
      </c>
      <c r="E72" s="1015">
        <v>3022</v>
      </c>
      <c r="F72" s="1016"/>
    </row>
    <row r="73" spans="2:6" s="1" customFormat="1" x14ac:dyDescent="0.25">
      <c r="B73" s="925" t="s">
        <v>927</v>
      </c>
      <c r="C73" s="927" t="s">
        <v>928</v>
      </c>
      <c r="D73" s="927" t="s">
        <v>916</v>
      </c>
      <c r="E73" s="1015">
        <v>474</v>
      </c>
      <c r="F73" s="1016"/>
    </row>
    <row r="74" spans="2:6" s="1" customFormat="1" x14ac:dyDescent="0.25">
      <c r="B74" s="991" t="s">
        <v>929</v>
      </c>
      <c r="C74" s="1017" t="s">
        <v>930</v>
      </c>
      <c r="D74" s="1018" t="s">
        <v>916</v>
      </c>
      <c r="E74" s="1019">
        <v>15</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349</v>
      </c>
    </row>
    <row r="77" spans="2:6" s="1" customFormat="1" x14ac:dyDescent="0.25">
      <c r="B77" s="925" t="s">
        <v>935</v>
      </c>
      <c r="C77" s="927" t="s">
        <v>936</v>
      </c>
      <c r="D77" s="927" t="s">
        <v>916</v>
      </c>
      <c r="E77" s="1015">
        <v>245</v>
      </c>
    </row>
    <row r="78" spans="2:6" s="1" customFormat="1" x14ac:dyDescent="0.25">
      <c r="B78" s="981" t="s">
        <v>937</v>
      </c>
      <c r="C78" s="993" t="s">
        <v>938</v>
      </c>
      <c r="D78" s="993" t="s">
        <v>916</v>
      </c>
      <c r="E78" s="1008">
        <v>100</v>
      </c>
    </row>
    <row r="79" spans="2:6" s="1" customFormat="1" ht="15.75" thickBot="1" x14ac:dyDescent="0.3">
      <c r="B79" s="925" t="s">
        <v>939</v>
      </c>
      <c r="C79" s="927" t="s">
        <v>940</v>
      </c>
      <c r="D79" s="927" t="s">
        <v>916</v>
      </c>
      <c r="E79" s="1015">
        <v>4</v>
      </c>
    </row>
    <row r="80" spans="2:6" s="1" customFormat="1" x14ac:dyDescent="0.25">
      <c r="B80" s="921" t="s">
        <v>941</v>
      </c>
      <c r="C80" s="923" t="s">
        <v>942</v>
      </c>
      <c r="D80" s="1025" t="s">
        <v>916</v>
      </c>
      <c r="E80" s="1026">
        <f>SUM(E81:E83)</f>
        <v>12461</v>
      </c>
    </row>
    <row r="81" spans="2:5" s="1" customFormat="1" x14ac:dyDescent="0.25">
      <c r="B81" s="988" t="s">
        <v>943</v>
      </c>
      <c r="C81" s="1027" t="s">
        <v>944</v>
      </c>
      <c r="D81" s="1027" t="s">
        <v>916</v>
      </c>
      <c r="E81" s="1028">
        <v>8861</v>
      </c>
    </row>
    <row r="82" spans="2:5" s="1" customFormat="1" x14ac:dyDescent="0.25">
      <c r="B82" s="981" t="s">
        <v>945</v>
      </c>
      <c r="C82" s="993" t="s">
        <v>946</v>
      </c>
      <c r="D82" s="993" t="s">
        <v>916</v>
      </c>
      <c r="E82" s="1008">
        <v>3122</v>
      </c>
    </row>
    <row r="83" spans="2:5" s="1" customFormat="1" ht="15.75" thickBot="1" x14ac:dyDescent="0.3">
      <c r="B83" s="1020" t="s">
        <v>947</v>
      </c>
      <c r="C83" s="1022" t="s">
        <v>948</v>
      </c>
      <c r="D83" s="1022" t="s">
        <v>916</v>
      </c>
      <c r="E83" s="1023">
        <v>478</v>
      </c>
    </row>
  </sheetData>
  <sheetProtection algorithmName="SHA-512" hashValue="4dB38ZbENb3cBVfVQdgGwWK+/PXUZYDOwEUJL/TI5a1+Sgjlt79ie6ZtbBbjdPFDoJcdNyjHQqknsT+M0Px1+Q==" saltValue="FnDVYbufG5EOFXtpxti0WYx4vq6iml9xzLEf2EMiW6BqDB59/LF9P5YwlNHeTDWvsYJ6IBXPTaDSVISmxVO2lw=="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Jolanta</cp:lastModifiedBy>
  <cp:lastPrinted>2020-07-29T11:43:04Z</cp:lastPrinted>
  <dcterms:created xsi:type="dcterms:W3CDTF">2020-03-06T22:14:12Z</dcterms:created>
  <dcterms:modified xsi:type="dcterms:W3CDTF">2020-08-11T01:54:14Z</dcterms:modified>
</cp:coreProperties>
</file>