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olanta\Documents\Kainų komisijos rodikliai 2022 m\Metinė atskaitomybė\"/>
    </mc:Choice>
  </mc:AlternateContent>
  <xr:revisionPtr revIDLastSave="0" documentId="13_ncr:1_{21005D6A-A797-44E0-834F-9CA5D486824D}" xr6:coauthVersionLast="45" xr6:coauthVersionMax="45" xr10:uidLastSave="{00000000-0000-0000-0000-000000000000}"/>
  <bookViews>
    <workbookView xWindow="1410" yWindow="1410" windowWidth="21600" windowHeight="11400" firstSheet="3" activeTab="10"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tiekyjel1" localSheetId="10">'Forma 9'!$C$74</definedName>
    <definedName name="VAS078_D_Vandentiekyjel1">'Forma 9'!$C$74</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tiekyjel1AtaskaitinisLaikotarpis" localSheetId="10">'Forma 9'!$E$74</definedName>
    <definedName name="VAS078_F_Vandentiekyjel1AtaskaitinisLaikotarpis">'Forma 9'!$E$74</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0" i="13" l="1"/>
  <c r="I100" i="13"/>
  <c r="E100" i="13"/>
  <c r="D100" i="13" s="1"/>
  <c r="N99" i="13"/>
  <c r="I99" i="13"/>
  <c r="E99" i="13"/>
  <c r="D99" i="13" s="1"/>
  <c r="N98" i="13"/>
  <c r="I98" i="13"/>
  <c r="E98" i="13"/>
  <c r="D98" i="13" s="1"/>
  <c r="Q97" i="13"/>
  <c r="P97" i="13"/>
  <c r="O97" i="13"/>
  <c r="N97" i="13" s="1"/>
  <c r="M97" i="13"/>
  <c r="L97" i="13"/>
  <c r="K97" i="13"/>
  <c r="J97" i="13"/>
  <c r="I97" i="13" s="1"/>
  <c r="H97" i="13"/>
  <c r="G97" i="13"/>
  <c r="F97" i="13"/>
  <c r="N96" i="13"/>
  <c r="I96" i="13"/>
  <c r="E96" i="13"/>
  <c r="D96" i="13"/>
  <c r="N95" i="13"/>
  <c r="I95" i="13"/>
  <c r="E95" i="13"/>
  <c r="D95" i="13"/>
  <c r="Q94" i="13"/>
  <c r="P94" i="13"/>
  <c r="O94" i="13"/>
  <c r="N94" i="13"/>
  <c r="M94" i="13"/>
  <c r="L94" i="13"/>
  <c r="K94" i="13"/>
  <c r="J94" i="13"/>
  <c r="I94" i="13" s="1"/>
  <c r="H94" i="13"/>
  <c r="G94" i="13"/>
  <c r="F94" i="13"/>
  <c r="N93" i="13"/>
  <c r="I93" i="13"/>
  <c r="D93" i="13" s="1"/>
  <c r="E93" i="13"/>
  <c r="N92" i="13"/>
  <c r="I92" i="13"/>
  <c r="E92" i="13"/>
  <c r="Q91" i="13"/>
  <c r="P91" i="13"/>
  <c r="O91" i="13"/>
  <c r="N91" i="13" s="1"/>
  <c r="M91" i="13"/>
  <c r="L91" i="13"/>
  <c r="K91" i="13"/>
  <c r="I91" i="13" s="1"/>
  <c r="J91" i="13"/>
  <c r="H91" i="13"/>
  <c r="E91" i="13" s="1"/>
  <c r="G91" i="13"/>
  <c r="F91" i="13"/>
  <c r="D91" i="13"/>
  <c r="N90" i="13"/>
  <c r="I90" i="13"/>
  <c r="E90" i="13"/>
  <c r="D90" i="13" s="1"/>
  <c r="D89" i="13" s="1"/>
  <c r="Q89" i="13"/>
  <c r="P89" i="13"/>
  <c r="O89" i="13"/>
  <c r="N89" i="13" s="1"/>
  <c r="M89" i="13"/>
  <c r="L89" i="13"/>
  <c r="K89" i="13"/>
  <c r="J89" i="13"/>
  <c r="H89" i="13"/>
  <c r="G89" i="13"/>
  <c r="F89" i="13"/>
  <c r="N88" i="13"/>
  <c r="I88" i="13"/>
  <c r="E88" i="13"/>
  <c r="D88" i="13" s="1"/>
  <c r="N87" i="13"/>
  <c r="I87" i="13"/>
  <c r="E87" i="13"/>
  <c r="D87" i="13" s="1"/>
  <c r="N86" i="13"/>
  <c r="I86" i="13"/>
  <c r="E86" i="13"/>
  <c r="N85" i="13"/>
  <c r="I85" i="13"/>
  <c r="E85" i="13"/>
  <c r="Q84" i="13"/>
  <c r="P84" i="13"/>
  <c r="P79" i="13" s="1"/>
  <c r="O84" i="13"/>
  <c r="N84" i="13" s="1"/>
  <c r="M84" i="13"/>
  <c r="L84" i="13"/>
  <c r="K84" i="13"/>
  <c r="J84" i="13"/>
  <c r="H84" i="13"/>
  <c r="G84" i="13"/>
  <c r="F84" i="13"/>
  <c r="N83" i="13"/>
  <c r="I83" i="13"/>
  <c r="E83" i="13"/>
  <c r="D83" i="13"/>
  <c r="N82" i="13"/>
  <c r="I82" i="13"/>
  <c r="E82" i="13"/>
  <c r="D82" i="13"/>
  <c r="N81" i="13"/>
  <c r="I81" i="13"/>
  <c r="E81" i="13"/>
  <c r="D81" i="13"/>
  <c r="Q80" i="13"/>
  <c r="P80" i="13"/>
  <c r="O80" i="13"/>
  <c r="N80" i="13"/>
  <c r="N79" i="13" s="1"/>
  <c r="M80" i="13"/>
  <c r="L80" i="13"/>
  <c r="K80" i="13"/>
  <c r="J80" i="13"/>
  <c r="I80" i="13" s="1"/>
  <c r="H80" i="13"/>
  <c r="G80" i="13"/>
  <c r="F80" i="13"/>
  <c r="Q79" i="13"/>
  <c r="M79" i="13"/>
  <c r="N78" i="13"/>
  <c r="D78" i="13" s="1"/>
  <c r="I78" i="13"/>
  <c r="E78" i="13"/>
  <c r="N77" i="13"/>
  <c r="D77" i="13" s="1"/>
  <c r="I77" i="13"/>
  <c r="E77" i="13"/>
  <c r="N76" i="13"/>
  <c r="D76" i="13" s="1"/>
  <c r="I76" i="13"/>
  <c r="E76" i="13"/>
  <c r="Q75" i="13"/>
  <c r="P75" i="13"/>
  <c r="O75" i="13"/>
  <c r="M75" i="13"/>
  <c r="L75" i="13"/>
  <c r="K75" i="13"/>
  <c r="J75" i="13"/>
  <c r="H75" i="13"/>
  <c r="G75" i="13"/>
  <c r="F75" i="13"/>
  <c r="N74" i="13"/>
  <c r="I74" i="13"/>
  <c r="D74" i="13" s="1"/>
  <c r="E74" i="13"/>
  <c r="N73" i="13"/>
  <c r="I73" i="13"/>
  <c r="D73" i="13" s="1"/>
  <c r="E73" i="13"/>
  <c r="Q72" i="13"/>
  <c r="P72" i="13"/>
  <c r="P56" i="13" s="1"/>
  <c r="O72" i="13"/>
  <c r="M72" i="13"/>
  <c r="L72" i="13"/>
  <c r="K72" i="13"/>
  <c r="I72" i="13" s="1"/>
  <c r="J72" i="13"/>
  <c r="H72" i="13"/>
  <c r="G72" i="13"/>
  <c r="F72" i="13"/>
  <c r="N71" i="13"/>
  <c r="I71" i="13"/>
  <c r="E71" i="13"/>
  <c r="D71" i="13" s="1"/>
  <c r="N70" i="13"/>
  <c r="I70" i="13"/>
  <c r="E70" i="13"/>
  <c r="D70" i="13" s="1"/>
  <c r="Q69" i="13"/>
  <c r="P69" i="13"/>
  <c r="O69" i="13"/>
  <c r="N69" i="13" s="1"/>
  <c r="M69" i="13"/>
  <c r="L69" i="13"/>
  <c r="K69" i="13"/>
  <c r="J69" i="13"/>
  <c r="H69" i="13"/>
  <c r="G69" i="13"/>
  <c r="F69" i="13"/>
  <c r="E69" i="13" s="1"/>
  <c r="N68" i="13"/>
  <c r="I68" i="13"/>
  <c r="E68" i="13"/>
  <c r="D68" i="13" s="1"/>
  <c r="N67" i="13"/>
  <c r="I67" i="13"/>
  <c r="E67" i="13"/>
  <c r="D67" i="13" s="1"/>
  <c r="Q66" i="13"/>
  <c r="P66" i="13"/>
  <c r="O66" i="13"/>
  <c r="M66" i="13"/>
  <c r="L66" i="13"/>
  <c r="K66" i="13"/>
  <c r="J66" i="13"/>
  <c r="H66" i="13"/>
  <c r="E66" i="13"/>
  <c r="G66" i="13"/>
  <c r="F66" i="13"/>
  <c r="N65" i="13"/>
  <c r="I65" i="13"/>
  <c r="E65" i="13"/>
  <c r="N64" i="13"/>
  <c r="I64" i="13"/>
  <c r="E64" i="13"/>
  <c r="D64" i="13" s="1"/>
  <c r="N63" i="13"/>
  <c r="I63" i="13"/>
  <c r="E63" i="13"/>
  <c r="D63" i="13" s="1"/>
  <c r="N62" i="13"/>
  <c r="I62" i="13"/>
  <c r="E62" i="13"/>
  <c r="Q61" i="13"/>
  <c r="Q56" i="13" s="1"/>
  <c r="P61" i="13"/>
  <c r="O61" i="13"/>
  <c r="M61" i="13"/>
  <c r="L61" i="13"/>
  <c r="L56" i="13" s="1"/>
  <c r="K61" i="13"/>
  <c r="J61" i="13"/>
  <c r="H61" i="13"/>
  <c r="G61" i="13"/>
  <c r="F61" i="13"/>
  <c r="E61" i="13" s="1"/>
  <c r="N60" i="13"/>
  <c r="I60" i="13"/>
  <c r="E60" i="13"/>
  <c r="D60" i="13" s="1"/>
  <c r="N59" i="13"/>
  <c r="D59" i="13" s="1"/>
  <c r="I59" i="13"/>
  <c r="E59" i="13"/>
  <c r="N58" i="13"/>
  <c r="I58" i="13"/>
  <c r="E58" i="13"/>
  <c r="Q57" i="13"/>
  <c r="P57" i="13"/>
  <c r="O57" i="13"/>
  <c r="M57" i="13"/>
  <c r="L57" i="13"/>
  <c r="K57" i="13"/>
  <c r="J57" i="13"/>
  <c r="I57" i="13" s="1"/>
  <c r="H57" i="13"/>
  <c r="G57" i="13"/>
  <c r="F57" i="13"/>
  <c r="E57" i="13" s="1"/>
  <c r="M56" i="13"/>
  <c r="J56" i="13"/>
  <c r="G56" i="13"/>
  <c r="N55" i="13"/>
  <c r="I55" i="13"/>
  <c r="E55" i="13"/>
  <c r="D55" i="13" s="1"/>
  <c r="N54" i="13"/>
  <c r="I54" i="13"/>
  <c r="E54" i="13"/>
  <c r="D54" i="13" s="1"/>
  <c r="N53" i="13"/>
  <c r="I53" i="13"/>
  <c r="E53" i="13"/>
  <c r="D53" i="13" s="1"/>
  <c r="Q52" i="13"/>
  <c r="P52" i="13"/>
  <c r="O52" i="13"/>
  <c r="M52" i="13"/>
  <c r="L52" i="13"/>
  <c r="K52" i="13"/>
  <c r="J52" i="13"/>
  <c r="I52" i="13" s="1"/>
  <c r="H52" i="13"/>
  <c r="G52" i="13"/>
  <c r="F52" i="13"/>
  <c r="E52" i="13" s="1"/>
  <c r="N51" i="13"/>
  <c r="I51" i="13"/>
  <c r="E51" i="13"/>
  <c r="D51" i="13" s="1"/>
  <c r="N50" i="13"/>
  <c r="I50" i="13"/>
  <c r="E50" i="13"/>
  <c r="D50" i="13" s="1"/>
  <c r="Q49" i="13"/>
  <c r="P49" i="13"/>
  <c r="O49" i="13"/>
  <c r="N49" i="13" s="1"/>
  <c r="M49" i="13"/>
  <c r="L49" i="13"/>
  <c r="K49" i="13"/>
  <c r="I49" i="13" s="1"/>
  <c r="J49" i="13"/>
  <c r="H49" i="13"/>
  <c r="G49" i="13"/>
  <c r="F49" i="13"/>
  <c r="N48" i="13"/>
  <c r="I48" i="13"/>
  <c r="D48" i="13" s="1"/>
  <c r="E48" i="13"/>
  <c r="N47" i="13"/>
  <c r="I47" i="13"/>
  <c r="D47" i="13" s="1"/>
  <c r="E47" i="13"/>
  <c r="Q46" i="13"/>
  <c r="P46" i="13"/>
  <c r="O46" i="13"/>
  <c r="M46" i="13"/>
  <c r="L46" i="13"/>
  <c r="L33" i="13" s="1"/>
  <c r="K46" i="13"/>
  <c r="J46" i="13"/>
  <c r="I46" i="13" s="1"/>
  <c r="H46" i="13"/>
  <c r="G46" i="13"/>
  <c r="F46" i="13"/>
  <c r="E46" i="13" s="1"/>
  <c r="N45" i="13"/>
  <c r="I45" i="13"/>
  <c r="E45" i="13"/>
  <c r="D45" i="13"/>
  <c r="N44" i="13"/>
  <c r="I44" i="13"/>
  <c r="E44" i="13"/>
  <c r="D44" i="13"/>
  <c r="Q43" i="13"/>
  <c r="P43" i="13"/>
  <c r="O43" i="13"/>
  <c r="N43" i="13"/>
  <c r="M43" i="13"/>
  <c r="L43" i="13"/>
  <c r="K43" i="13"/>
  <c r="J43" i="13"/>
  <c r="I43" i="13" s="1"/>
  <c r="H43" i="13"/>
  <c r="G43" i="13"/>
  <c r="F43" i="13"/>
  <c r="N42" i="13"/>
  <c r="I42" i="13"/>
  <c r="E42" i="13"/>
  <c r="D42" i="13" s="1"/>
  <c r="N41" i="13"/>
  <c r="I41" i="13"/>
  <c r="E41" i="13"/>
  <c r="D41" i="13" s="1"/>
  <c r="N40" i="13"/>
  <c r="I40" i="13"/>
  <c r="E40" i="13"/>
  <c r="D40" i="13" s="1"/>
  <c r="N39" i="13"/>
  <c r="I39" i="13"/>
  <c r="E39" i="13"/>
  <c r="D39" i="13" s="1"/>
  <c r="Q38" i="13"/>
  <c r="P38" i="13"/>
  <c r="O38" i="13"/>
  <c r="N38" i="13" s="1"/>
  <c r="M38" i="13"/>
  <c r="L38" i="13"/>
  <c r="K38" i="13"/>
  <c r="J38" i="13"/>
  <c r="H38" i="13"/>
  <c r="H33" i="13" s="1"/>
  <c r="G38" i="13"/>
  <c r="F38" i="13"/>
  <c r="N37" i="13"/>
  <c r="I37" i="13"/>
  <c r="E37" i="13"/>
  <c r="D37" i="13" s="1"/>
  <c r="N36" i="13"/>
  <c r="I36" i="13"/>
  <c r="E36" i="13"/>
  <c r="D36" i="13" s="1"/>
  <c r="N35" i="13"/>
  <c r="I35" i="13"/>
  <c r="E35" i="13"/>
  <c r="Q34" i="13"/>
  <c r="Q33" i="13" s="1"/>
  <c r="P34" i="13"/>
  <c r="O34" i="13"/>
  <c r="N34" i="13" s="1"/>
  <c r="M34" i="13"/>
  <c r="M33" i="13" s="1"/>
  <c r="L34" i="13"/>
  <c r="K34" i="13"/>
  <c r="J34" i="13"/>
  <c r="I34" i="13"/>
  <c r="H34" i="13"/>
  <c r="G34" i="13"/>
  <c r="F34" i="13"/>
  <c r="E34" i="13"/>
  <c r="O33" i="13"/>
  <c r="J33" i="13"/>
  <c r="Q32" i="13"/>
  <c r="P32" i="13"/>
  <c r="O32" i="13"/>
  <c r="N32" i="13" s="1"/>
  <c r="M32" i="13"/>
  <c r="M29" i="13" s="1"/>
  <c r="L32" i="13"/>
  <c r="K32" i="13"/>
  <c r="J32" i="13"/>
  <c r="I32" i="13"/>
  <c r="H32" i="13"/>
  <c r="G32" i="13"/>
  <c r="F32" i="13"/>
  <c r="E32" i="13"/>
  <c r="Q31" i="13"/>
  <c r="P31" i="13"/>
  <c r="O31" i="13"/>
  <c r="M31" i="13"/>
  <c r="L31" i="13"/>
  <c r="K31" i="13"/>
  <c r="J31" i="13"/>
  <c r="H31" i="13"/>
  <c r="G31" i="13"/>
  <c r="F31" i="13"/>
  <c r="Q30" i="13"/>
  <c r="P30" i="13"/>
  <c r="O30" i="13"/>
  <c r="M30" i="13"/>
  <c r="L30" i="13"/>
  <c r="K30" i="13"/>
  <c r="J30" i="13"/>
  <c r="H30" i="13"/>
  <c r="G30" i="13"/>
  <c r="E30" i="13" s="1"/>
  <c r="F30" i="13"/>
  <c r="Q29" i="13"/>
  <c r="P29" i="13"/>
  <c r="L29" i="13"/>
  <c r="H29" i="13"/>
  <c r="Q28" i="13"/>
  <c r="P28" i="13"/>
  <c r="O28" i="13"/>
  <c r="N28" i="13" s="1"/>
  <c r="M28" i="13"/>
  <c r="L28" i="13"/>
  <c r="K28" i="13"/>
  <c r="J28" i="13"/>
  <c r="H28" i="13"/>
  <c r="G28" i="13"/>
  <c r="G26" i="13" s="1"/>
  <c r="F28" i="13"/>
  <c r="Q27" i="13"/>
  <c r="P27" i="13"/>
  <c r="O27" i="13"/>
  <c r="M27" i="13"/>
  <c r="L27" i="13"/>
  <c r="K27" i="13"/>
  <c r="J27" i="13"/>
  <c r="H27" i="13"/>
  <c r="G27" i="13"/>
  <c r="F27" i="13"/>
  <c r="E27" i="13" s="1"/>
  <c r="Q26" i="13"/>
  <c r="P26" i="13"/>
  <c r="O26" i="13"/>
  <c r="M26" i="13"/>
  <c r="L26" i="13"/>
  <c r="H26" i="13"/>
  <c r="F26" i="13"/>
  <c r="Q25" i="13"/>
  <c r="P25" i="13"/>
  <c r="O25" i="13"/>
  <c r="O23" i="13" s="1"/>
  <c r="N23" i="13" s="1"/>
  <c r="M25" i="13"/>
  <c r="L25" i="13"/>
  <c r="K25" i="13"/>
  <c r="J25" i="13"/>
  <c r="H25" i="13"/>
  <c r="H23" i="13" s="1"/>
  <c r="G25" i="13"/>
  <c r="F25" i="13"/>
  <c r="F23" i="13" s="1"/>
  <c r="Q24" i="13"/>
  <c r="P24" i="13"/>
  <c r="P23" i="13" s="1"/>
  <c r="O24" i="13"/>
  <c r="M24" i="13"/>
  <c r="M23" i="13" s="1"/>
  <c r="L24" i="13"/>
  <c r="K24" i="13"/>
  <c r="J24" i="13"/>
  <c r="I24" i="13"/>
  <c r="H24" i="13"/>
  <c r="G24" i="13"/>
  <c r="F24" i="13"/>
  <c r="Q23" i="13"/>
  <c r="L23" i="13"/>
  <c r="K23" i="13"/>
  <c r="G23" i="13"/>
  <c r="Q22" i="13"/>
  <c r="P22" i="13"/>
  <c r="O22" i="13"/>
  <c r="M22" i="13"/>
  <c r="L22" i="13"/>
  <c r="L20" i="13" s="1"/>
  <c r="K22" i="13"/>
  <c r="J22" i="13"/>
  <c r="I22" i="13" s="1"/>
  <c r="H22" i="13"/>
  <c r="H20" i="13" s="1"/>
  <c r="G22" i="13"/>
  <c r="F22" i="13"/>
  <c r="Q21" i="13"/>
  <c r="Q20" i="13" s="1"/>
  <c r="P21" i="13"/>
  <c r="O21" i="13"/>
  <c r="N21" i="13" s="1"/>
  <c r="M21" i="13"/>
  <c r="M20" i="13" s="1"/>
  <c r="L21" i="13"/>
  <c r="K21" i="13"/>
  <c r="J21" i="13"/>
  <c r="I21" i="13"/>
  <c r="H21" i="13"/>
  <c r="G21" i="13"/>
  <c r="G20" i="13" s="1"/>
  <c r="F21" i="13"/>
  <c r="E21" i="13"/>
  <c r="P20" i="13"/>
  <c r="O20" i="13"/>
  <c r="K20" i="13"/>
  <c r="F20" i="13"/>
  <c r="Q19" i="13"/>
  <c r="P19" i="13"/>
  <c r="O19" i="13"/>
  <c r="M19" i="13"/>
  <c r="L19" i="13"/>
  <c r="L15" i="13" s="1"/>
  <c r="K19" i="13"/>
  <c r="J19" i="13"/>
  <c r="H19" i="13"/>
  <c r="G19" i="13"/>
  <c r="F19" i="13"/>
  <c r="Q18" i="13"/>
  <c r="P18" i="13"/>
  <c r="O18" i="13"/>
  <c r="O15" i="13" s="1"/>
  <c r="N15" i="13" s="1"/>
  <c r="M18" i="13"/>
  <c r="L18" i="13"/>
  <c r="K18" i="13"/>
  <c r="J18" i="13"/>
  <c r="H18" i="13"/>
  <c r="G18" i="13"/>
  <c r="F18" i="13"/>
  <c r="E18" i="13"/>
  <c r="Q17" i="13"/>
  <c r="P17" i="13"/>
  <c r="O17" i="13"/>
  <c r="N17" i="13"/>
  <c r="M17" i="13"/>
  <c r="L17" i="13"/>
  <c r="K17" i="13"/>
  <c r="J17" i="13"/>
  <c r="J15" i="13" s="1"/>
  <c r="H17" i="13"/>
  <c r="G17" i="13"/>
  <c r="F17" i="13"/>
  <c r="E17" i="13"/>
  <c r="Q16" i="13"/>
  <c r="P16" i="13"/>
  <c r="P15" i="13" s="1"/>
  <c r="O16" i="13"/>
  <c r="M16" i="13"/>
  <c r="M15" i="13" s="1"/>
  <c r="L16" i="13"/>
  <c r="K16" i="13"/>
  <c r="J16" i="13"/>
  <c r="I16" i="13"/>
  <c r="H16" i="13"/>
  <c r="G16" i="13"/>
  <c r="F16" i="13"/>
  <c r="Q15" i="13"/>
  <c r="K15" i="13"/>
  <c r="H15" i="13"/>
  <c r="F15" i="13"/>
  <c r="Q14" i="13"/>
  <c r="P14" i="13"/>
  <c r="P11" i="13" s="1"/>
  <c r="P10" i="13" s="1"/>
  <c r="O14" i="13"/>
  <c r="M14" i="13"/>
  <c r="L14" i="13"/>
  <c r="K14" i="13"/>
  <c r="I14" i="13" s="1"/>
  <c r="J14" i="13"/>
  <c r="H14" i="13"/>
  <c r="G14" i="13"/>
  <c r="F14" i="13"/>
  <c r="Q13" i="13"/>
  <c r="P13" i="13"/>
  <c r="O13" i="13"/>
  <c r="M13" i="13"/>
  <c r="L13" i="13"/>
  <c r="K13" i="13"/>
  <c r="I13" i="13"/>
  <c r="J13" i="13"/>
  <c r="H13" i="13"/>
  <c r="G13" i="13"/>
  <c r="F13" i="13"/>
  <c r="Q12" i="13"/>
  <c r="P12" i="13"/>
  <c r="O12" i="13"/>
  <c r="N12" i="13" s="1"/>
  <c r="M12" i="13"/>
  <c r="M11" i="13" s="1"/>
  <c r="L12" i="13"/>
  <c r="K12" i="13"/>
  <c r="I12" i="13" s="1"/>
  <c r="J12" i="13"/>
  <c r="H12" i="13"/>
  <c r="G12" i="13"/>
  <c r="G11" i="13" s="1"/>
  <c r="F12" i="13"/>
  <c r="Q11" i="13"/>
  <c r="L11" i="13"/>
  <c r="J11" i="13"/>
  <c r="H11" i="13"/>
  <c r="H10" i="13" s="1"/>
  <c r="E190" i="12"/>
  <c r="E185" i="12" s="1"/>
  <c r="E144" i="12"/>
  <c r="E130" i="12"/>
  <c r="E129" i="12" s="1"/>
  <c r="E55" i="8" s="1"/>
  <c r="E54" i="8" s="1"/>
  <c r="E83" i="12"/>
  <c r="E69" i="12"/>
  <c r="E62" i="12"/>
  <c r="N133" i="11"/>
  <c r="I133" i="11"/>
  <c r="E133" i="11"/>
  <c r="N132" i="11"/>
  <c r="I132" i="11"/>
  <c r="E132" i="11"/>
  <c r="N131" i="11"/>
  <c r="I131" i="11"/>
  <c r="E131" i="11"/>
  <c r="N130" i="11"/>
  <c r="I130" i="11"/>
  <c r="E130" i="11"/>
  <c r="N129" i="11"/>
  <c r="I129" i="11"/>
  <c r="E129" i="11"/>
  <c r="N128" i="11"/>
  <c r="I128" i="11"/>
  <c r="E128" i="11"/>
  <c r="N127" i="11"/>
  <c r="I127" i="11"/>
  <c r="E127" i="11"/>
  <c r="N126" i="11"/>
  <c r="I126" i="11"/>
  <c r="E126" i="11"/>
  <c r="N125" i="11"/>
  <c r="I125" i="11"/>
  <c r="E125" i="11"/>
  <c r="N124" i="11"/>
  <c r="I124" i="11"/>
  <c r="E124" i="11"/>
  <c r="N123" i="11"/>
  <c r="I123" i="11"/>
  <c r="E123" i="11"/>
  <c r="N122" i="11"/>
  <c r="I122" i="11"/>
  <c r="E122" i="11"/>
  <c r="N121" i="11"/>
  <c r="I121" i="11"/>
  <c r="E121" i="11"/>
  <c r="N120" i="11"/>
  <c r="I120" i="11"/>
  <c r="E120" i="11"/>
  <c r="N119" i="11"/>
  <c r="I119" i="11"/>
  <c r="E119" i="11"/>
  <c r="Q117" i="11"/>
  <c r="P117" i="11"/>
  <c r="O117" i="11"/>
  <c r="M117" i="11"/>
  <c r="L117" i="11"/>
  <c r="K117" i="11"/>
  <c r="J117" i="11"/>
  <c r="H117" i="11"/>
  <c r="G117" i="11"/>
  <c r="F117" i="11"/>
  <c r="Q116" i="11"/>
  <c r="P116" i="11"/>
  <c r="O116" i="11"/>
  <c r="M116" i="11"/>
  <c r="L116" i="11"/>
  <c r="K116" i="11"/>
  <c r="J116" i="11"/>
  <c r="H116" i="11"/>
  <c r="G116" i="11"/>
  <c r="F116" i="11"/>
  <c r="Q115" i="11"/>
  <c r="P115" i="11"/>
  <c r="O115" i="11"/>
  <c r="M115" i="11"/>
  <c r="L115" i="11"/>
  <c r="K115" i="11"/>
  <c r="J115" i="11"/>
  <c r="H115" i="11"/>
  <c r="G115" i="11"/>
  <c r="F115" i="11"/>
  <c r="D114" i="11"/>
  <c r="Q113" i="11"/>
  <c r="P113" i="11"/>
  <c r="O113" i="11"/>
  <c r="M113" i="11"/>
  <c r="L113" i="11"/>
  <c r="K113" i="11"/>
  <c r="J113" i="11"/>
  <c r="H113" i="11"/>
  <c r="G113" i="11"/>
  <c r="F113" i="11"/>
  <c r="Q112" i="11"/>
  <c r="P112" i="11"/>
  <c r="O112" i="11"/>
  <c r="O27" i="11" s="1"/>
  <c r="M112" i="11"/>
  <c r="L112" i="11"/>
  <c r="K112" i="11"/>
  <c r="J112" i="11"/>
  <c r="J27" i="11" s="1"/>
  <c r="H112" i="11"/>
  <c r="G112" i="11"/>
  <c r="F112" i="11"/>
  <c r="D111" i="11"/>
  <c r="Q110" i="11"/>
  <c r="Q25" i="11" s="1"/>
  <c r="P110" i="11"/>
  <c r="O110" i="11"/>
  <c r="M110" i="11"/>
  <c r="L110" i="11"/>
  <c r="K110" i="11"/>
  <c r="J110" i="11"/>
  <c r="H110" i="11"/>
  <c r="G110" i="11"/>
  <c r="G25" i="11" s="1"/>
  <c r="F110" i="11"/>
  <c r="Q109" i="11"/>
  <c r="P109" i="11"/>
  <c r="O109" i="11"/>
  <c r="M109" i="11"/>
  <c r="L109" i="11"/>
  <c r="K109" i="11"/>
  <c r="J109" i="11"/>
  <c r="H109" i="11"/>
  <c r="G109" i="11"/>
  <c r="G24" i="11" s="1"/>
  <c r="F109" i="11"/>
  <c r="D108" i="11"/>
  <c r="Q107" i="11"/>
  <c r="Q106" i="11" s="1"/>
  <c r="P107" i="11"/>
  <c r="O107" i="11"/>
  <c r="M107" i="11"/>
  <c r="L107" i="11"/>
  <c r="L106" i="11" s="1"/>
  <c r="K107" i="11"/>
  <c r="K106" i="11" s="1"/>
  <c r="J107" i="11"/>
  <c r="J106" i="11" s="1"/>
  <c r="H107" i="11"/>
  <c r="H106" i="11" s="1"/>
  <c r="G107" i="11"/>
  <c r="F107" i="11"/>
  <c r="O106" i="11"/>
  <c r="M106" i="11"/>
  <c r="G106" i="11"/>
  <c r="F106" i="11"/>
  <c r="D106" i="11"/>
  <c r="Q105" i="11"/>
  <c r="P105" i="11"/>
  <c r="O105" i="11"/>
  <c r="M105" i="11"/>
  <c r="L105" i="11"/>
  <c r="K105" i="11"/>
  <c r="J105" i="11"/>
  <c r="H105" i="11"/>
  <c r="G105" i="11"/>
  <c r="F105" i="11"/>
  <c r="Q104" i="11"/>
  <c r="P104" i="11"/>
  <c r="O104" i="11"/>
  <c r="M104" i="11"/>
  <c r="L104" i="11"/>
  <c r="K104" i="11"/>
  <c r="J104" i="11"/>
  <c r="H104" i="11"/>
  <c r="G104" i="11"/>
  <c r="F104" i="11"/>
  <c r="Q103" i="11"/>
  <c r="P103" i="11"/>
  <c r="O103" i="11"/>
  <c r="M103" i="11"/>
  <c r="L103" i="11"/>
  <c r="K103" i="11"/>
  <c r="J103" i="11"/>
  <c r="H103" i="11"/>
  <c r="G103" i="11"/>
  <c r="F103" i="11"/>
  <c r="Q102" i="11"/>
  <c r="P102" i="11"/>
  <c r="O102" i="11"/>
  <c r="M102" i="11"/>
  <c r="L102" i="11"/>
  <c r="K102" i="11"/>
  <c r="J102" i="11"/>
  <c r="H102" i="11"/>
  <c r="G102" i="11"/>
  <c r="F102" i="11"/>
  <c r="D101" i="11"/>
  <c r="Q100" i="11"/>
  <c r="P100" i="11"/>
  <c r="O100" i="11"/>
  <c r="M100" i="11"/>
  <c r="L100" i="11"/>
  <c r="K100" i="11"/>
  <c r="J100" i="11"/>
  <c r="H100" i="11"/>
  <c r="H14" i="11" s="1"/>
  <c r="G100" i="11"/>
  <c r="F100" i="11"/>
  <c r="Q99" i="11"/>
  <c r="P99" i="11"/>
  <c r="O99" i="11"/>
  <c r="M99" i="11"/>
  <c r="L99" i="11"/>
  <c r="K99" i="11"/>
  <c r="J99" i="11"/>
  <c r="H99" i="11"/>
  <c r="H13" i="11" s="1"/>
  <c r="G99" i="11"/>
  <c r="F99" i="11"/>
  <c r="Q98" i="11"/>
  <c r="P98" i="11"/>
  <c r="O98" i="11"/>
  <c r="M98" i="11"/>
  <c r="L98" i="11"/>
  <c r="K98" i="11"/>
  <c r="J98" i="11"/>
  <c r="H98" i="11"/>
  <c r="H12" i="11" s="1"/>
  <c r="G98" i="11"/>
  <c r="F98" i="11"/>
  <c r="D97" i="11"/>
  <c r="N95" i="11"/>
  <c r="I95" i="11"/>
  <c r="E95" i="11"/>
  <c r="N94" i="11"/>
  <c r="I94" i="11"/>
  <c r="E94" i="11"/>
  <c r="N93" i="11"/>
  <c r="I93" i="11"/>
  <c r="E93" i="11"/>
  <c r="N92" i="11"/>
  <c r="I92" i="11"/>
  <c r="E92" i="11"/>
  <c r="N91" i="11"/>
  <c r="I91" i="11"/>
  <c r="E91" i="11"/>
  <c r="N90" i="11"/>
  <c r="I90" i="11"/>
  <c r="E90" i="11"/>
  <c r="N89" i="11"/>
  <c r="I89" i="11"/>
  <c r="E89" i="11"/>
  <c r="N88" i="11"/>
  <c r="I88" i="11"/>
  <c r="E88" i="11"/>
  <c r="N87" i="11"/>
  <c r="I87" i="11"/>
  <c r="E87" i="11"/>
  <c r="N86" i="11"/>
  <c r="I86" i="11"/>
  <c r="E86" i="11"/>
  <c r="N85" i="11"/>
  <c r="I85" i="11"/>
  <c r="E85" i="11"/>
  <c r="N84" i="11"/>
  <c r="I84" i="11"/>
  <c r="E84" i="11"/>
  <c r="N83" i="11"/>
  <c r="I83" i="11"/>
  <c r="E83" i="11"/>
  <c r="N82" i="11"/>
  <c r="I82" i="11"/>
  <c r="E82" i="11"/>
  <c r="N81" i="11"/>
  <c r="I81" i="11"/>
  <c r="E81" i="11"/>
  <c r="N80" i="11"/>
  <c r="I80" i="11"/>
  <c r="E80" i="11"/>
  <c r="Q78" i="11"/>
  <c r="P78" i="11"/>
  <c r="O78" i="11"/>
  <c r="M78" i="11"/>
  <c r="M32" i="11" s="1"/>
  <c r="L78" i="11"/>
  <c r="K78" i="11"/>
  <c r="J78" i="11"/>
  <c r="H78" i="11"/>
  <c r="G78" i="11"/>
  <c r="F78" i="11"/>
  <c r="Q77" i="11"/>
  <c r="Q31" i="11" s="1"/>
  <c r="P77" i="11"/>
  <c r="P31" i="11" s="1"/>
  <c r="O77" i="11"/>
  <c r="O31" i="11" s="1"/>
  <c r="M77" i="11"/>
  <c r="L77" i="11"/>
  <c r="L31" i="11" s="1"/>
  <c r="K77" i="11"/>
  <c r="J77" i="11"/>
  <c r="H77" i="11"/>
  <c r="G77" i="11"/>
  <c r="G31" i="11" s="1"/>
  <c r="F77" i="11"/>
  <c r="Q76" i="11"/>
  <c r="Q30" i="11" s="1"/>
  <c r="P76" i="11"/>
  <c r="O76" i="11"/>
  <c r="M76" i="11"/>
  <c r="M30" i="11" s="1"/>
  <c r="L76" i="11"/>
  <c r="L30" i="11" s="1"/>
  <c r="K76" i="11"/>
  <c r="J76" i="11"/>
  <c r="H76" i="11"/>
  <c r="H30" i="11" s="1"/>
  <c r="G76" i="11"/>
  <c r="F76" i="11"/>
  <c r="D75" i="11"/>
  <c r="Q74" i="11"/>
  <c r="P74" i="11"/>
  <c r="O74" i="11"/>
  <c r="O28" i="11" s="1"/>
  <c r="M74" i="11"/>
  <c r="L74" i="11"/>
  <c r="K74" i="11"/>
  <c r="J74" i="11"/>
  <c r="J28" i="11" s="1"/>
  <c r="H74" i="11"/>
  <c r="G74" i="11"/>
  <c r="G28" i="11" s="1"/>
  <c r="F74" i="11"/>
  <c r="Q73" i="11"/>
  <c r="Q27" i="11" s="1"/>
  <c r="P73" i="11"/>
  <c r="O73" i="11"/>
  <c r="M73" i="11"/>
  <c r="L73" i="11"/>
  <c r="K73" i="11"/>
  <c r="J73" i="11"/>
  <c r="H73" i="11"/>
  <c r="G73" i="11"/>
  <c r="F73" i="11"/>
  <c r="D72" i="11"/>
  <c r="Q71" i="11"/>
  <c r="P71" i="11"/>
  <c r="O71" i="11"/>
  <c r="M71" i="11"/>
  <c r="L71" i="11"/>
  <c r="L25" i="11" s="1"/>
  <c r="K71" i="11"/>
  <c r="J71" i="11"/>
  <c r="H71" i="11"/>
  <c r="G71" i="11"/>
  <c r="F71" i="11"/>
  <c r="F25" i="11" s="1"/>
  <c r="Q70" i="11"/>
  <c r="P70" i="11"/>
  <c r="P24" i="11" s="1"/>
  <c r="O70" i="11"/>
  <c r="M70" i="11"/>
  <c r="L70" i="11"/>
  <c r="K70" i="11"/>
  <c r="K24" i="11" s="1"/>
  <c r="J70" i="11"/>
  <c r="H70" i="11"/>
  <c r="G70" i="11"/>
  <c r="F70" i="11"/>
  <c r="F24" i="11" s="1"/>
  <c r="D69" i="11"/>
  <c r="Q68" i="11"/>
  <c r="Q22" i="11" s="1"/>
  <c r="P68" i="11"/>
  <c r="O68" i="11"/>
  <c r="M68" i="11"/>
  <c r="L68" i="11"/>
  <c r="K68" i="11"/>
  <c r="J68" i="11"/>
  <c r="J22" i="11" s="1"/>
  <c r="H68" i="11"/>
  <c r="H22" i="11" s="1"/>
  <c r="G68" i="11"/>
  <c r="F68" i="11"/>
  <c r="F22" i="11" s="1"/>
  <c r="Q67" i="11"/>
  <c r="P67" i="11"/>
  <c r="P21" i="11" s="1"/>
  <c r="O67" i="11"/>
  <c r="O21" i="11" s="1"/>
  <c r="M67" i="11"/>
  <c r="L67" i="11"/>
  <c r="K67" i="11"/>
  <c r="J67" i="11"/>
  <c r="J21" i="11" s="1"/>
  <c r="H67" i="11"/>
  <c r="G67" i="11"/>
  <c r="G21" i="11" s="1"/>
  <c r="F67" i="11"/>
  <c r="D66" i="11"/>
  <c r="Q65" i="11"/>
  <c r="P65" i="11"/>
  <c r="O65" i="11"/>
  <c r="M65" i="11"/>
  <c r="M19" i="11" s="1"/>
  <c r="L65" i="11"/>
  <c r="K65" i="11"/>
  <c r="K19" i="11" s="1"/>
  <c r="J65" i="11"/>
  <c r="H65" i="11"/>
  <c r="G65" i="11"/>
  <c r="F65" i="11"/>
  <c r="F19" i="11" s="1"/>
  <c r="Q64" i="11"/>
  <c r="P64" i="11"/>
  <c r="P18" i="11" s="1"/>
  <c r="O64" i="11"/>
  <c r="M64" i="11"/>
  <c r="L64" i="11"/>
  <c r="K64" i="11"/>
  <c r="J64" i="11"/>
  <c r="H64" i="11"/>
  <c r="G64" i="11"/>
  <c r="F64" i="11"/>
  <c r="F18" i="11" s="1"/>
  <c r="Q63" i="11"/>
  <c r="P63" i="11"/>
  <c r="O63" i="11"/>
  <c r="O17" i="11" s="1"/>
  <c r="M63" i="11"/>
  <c r="L63" i="11"/>
  <c r="K63" i="11"/>
  <c r="J63" i="11"/>
  <c r="J17" i="11" s="1"/>
  <c r="H63" i="11"/>
  <c r="G63" i="11"/>
  <c r="F63" i="11"/>
  <c r="Q62" i="11"/>
  <c r="Q16" i="11" s="1"/>
  <c r="P62" i="11"/>
  <c r="O62" i="11"/>
  <c r="M62" i="11"/>
  <c r="M16" i="11" s="1"/>
  <c r="L62" i="11"/>
  <c r="K62" i="11"/>
  <c r="J62" i="11"/>
  <c r="H62" i="11"/>
  <c r="H16" i="11" s="1"/>
  <c r="G62" i="11"/>
  <c r="F62" i="11"/>
  <c r="D61" i="11"/>
  <c r="Q60" i="11"/>
  <c r="Q14" i="11" s="1"/>
  <c r="P60" i="11"/>
  <c r="O60" i="11"/>
  <c r="M60" i="11"/>
  <c r="L60" i="11"/>
  <c r="L14" i="11" s="1"/>
  <c r="K60" i="11"/>
  <c r="J60" i="11"/>
  <c r="H60" i="11"/>
  <c r="G60" i="11"/>
  <c r="F60" i="11"/>
  <c r="Q59" i="11"/>
  <c r="P59" i="11"/>
  <c r="O59" i="11"/>
  <c r="M59" i="11"/>
  <c r="L59" i="11"/>
  <c r="K59" i="11"/>
  <c r="J59" i="11"/>
  <c r="J13" i="11" s="1"/>
  <c r="H59" i="11"/>
  <c r="G59" i="11"/>
  <c r="F59" i="11"/>
  <c r="Q58" i="11"/>
  <c r="Q12" i="11" s="1"/>
  <c r="P58" i="11"/>
  <c r="O58" i="11"/>
  <c r="M58" i="11"/>
  <c r="L58" i="11"/>
  <c r="K58" i="11"/>
  <c r="K12" i="11" s="1"/>
  <c r="J58" i="11"/>
  <c r="H58" i="11"/>
  <c r="G58" i="11"/>
  <c r="G12" i="11" s="1"/>
  <c r="F58" i="11"/>
  <c r="D57" i="11"/>
  <c r="N55" i="11"/>
  <c r="I55" i="11"/>
  <c r="E55" i="11"/>
  <c r="N54" i="11"/>
  <c r="I54" i="11"/>
  <c r="E54" i="11"/>
  <c r="N53" i="11"/>
  <c r="I53" i="11"/>
  <c r="E53" i="11"/>
  <c r="Q52" i="11"/>
  <c r="P52" i="11"/>
  <c r="O52" i="11"/>
  <c r="M52" i="11"/>
  <c r="L52" i="11"/>
  <c r="K52" i="11"/>
  <c r="J52" i="11"/>
  <c r="H52" i="11"/>
  <c r="G52" i="11"/>
  <c r="F52" i="11"/>
  <c r="N51" i="11"/>
  <c r="I51" i="11"/>
  <c r="E51" i="11"/>
  <c r="N50" i="11"/>
  <c r="I50" i="11"/>
  <c r="E50" i="11"/>
  <c r="Q49" i="11"/>
  <c r="P49" i="11"/>
  <c r="O49" i="11"/>
  <c r="M49" i="11"/>
  <c r="L49" i="11"/>
  <c r="K49" i="11"/>
  <c r="J49" i="11"/>
  <c r="H49" i="11"/>
  <c r="G49" i="11"/>
  <c r="F49" i="11"/>
  <c r="N48" i="11"/>
  <c r="I48" i="11"/>
  <c r="E48" i="11"/>
  <c r="N47" i="11"/>
  <c r="I47" i="11"/>
  <c r="E47" i="11"/>
  <c r="Q46" i="11"/>
  <c r="P46" i="11"/>
  <c r="O46" i="11"/>
  <c r="M46" i="11"/>
  <c r="L46" i="11"/>
  <c r="K46" i="11"/>
  <c r="J46" i="11"/>
  <c r="H46" i="11"/>
  <c r="G46" i="11"/>
  <c r="F46" i="11"/>
  <c r="N45" i="11"/>
  <c r="I45" i="11"/>
  <c r="E45" i="11"/>
  <c r="N44" i="11"/>
  <c r="I44" i="11"/>
  <c r="E44" i="11"/>
  <c r="Q43" i="11"/>
  <c r="P43" i="11"/>
  <c r="O43" i="11"/>
  <c r="M43" i="11"/>
  <c r="L43" i="11"/>
  <c r="K43" i="11"/>
  <c r="J43" i="11"/>
  <c r="H43" i="11"/>
  <c r="G43" i="11"/>
  <c r="F43" i="11"/>
  <c r="N42" i="11"/>
  <c r="I42" i="11"/>
  <c r="E42" i="11"/>
  <c r="N41" i="11"/>
  <c r="I41" i="11"/>
  <c r="E41" i="11"/>
  <c r="N40" i="11"/>
  <c r="I40" i="11"/>
  <c r="E40" i="11"/>
  <c r="N39" i="11"/>
  <c r="I39" i="11"/>
  <c r="E39" i="11"/>
  <c r="Q38" i="11"/>
  <c r="P38" i="11"/>
  <c r="O38" i="11"/>
  <c r="M38" i="11"/>
  <c r="L38" i="11"/>
  <c r="K38" i="11"/>
  <c r="J38" i="11"/>
  <c r="H38" i="11"/>
  <c r="G38" i="11"/>
  <c r="F38" i="11"/>
  <c r="N37" i="11"/>
  <c r="I37" i="11"/>
  <c r="E37" i="11"/>
  <c r="N36" i="11"/>
  <c r="I36" i="11"/>
  <c r="E36" i="11"/>
  <c r="N35" i="11"/>
  <c r="I35" i="11"/>
  <c r="E35" i="11"/>
  <c r="Q34" i="11"/>
  <c r="P34" i="11"/>
  <c r="O34" i="11"/>
  <c r="M34" i="11"/>
  <c r="L34" i="11"/>
  <c r="K34" i="11"/>
  <c r="J34" i="11"/>
  <c r="H34" i="11"/>
  <c r="G34" i="11"/>
  <c r="F34" i="11"/>
  <c r="Q32" i="11"/>
  <c r="L32" i="11"/>
  <c r="G32" i="11"/>
  <c r="M31" i="11"/>
  <c r="P30" i="11"/>
  <c r="O30" i="11"/>
  <c r="K30" i="11"/>
  <c r="J30" i="11"/>
  <c r="F30" i="11"/>
  <c r="Q28" i="11"/>
  <c r="L28" i="11"/>
  <c r="P27" i="11"/>
  <c r="M27" i="11"/>
  <c r="K27" i="11"/>
  <c r="F27" i="11"/>
  <c r="O25" i="11"/>
  <c r="J25" i="11"/>
  <c r="O24" i="11"/>
  <c r="J24" i="11"/>
  <c r="P22" i="11"/>
  <c r="M22" i="11"/>
  <c r="L22" i="11"/>
  <c r="K22" i="11"/>
  <c r="G22" i="11"/>
  <c r="K21" i="11"/>
  <c r="F21" i="11"/>
  <c r="P19" i="11"/>
  <c r="Q18" i="11"/>
  <c r="L18" i="11"/>
  <c r="K18" i="11"/>
  <c r="F17" i="11"/>
  <c r="L16" i="11"/>
  <c r="E89" i="10"/>
  <c r="E85" i="10"/>
  <c r="E78" i="10"/>
  <c r="E77" i="10" s="1"/>
  <c r="E72" i="10"/>
  <c r="E68" i="10"/>
  <c r="E54" i="10"/>
  <c r="E39" i="10"/>
  <c r="E38" i="10" s="1"/>
  <c r="E32" i="10"/>
  <c r="E30" i="10"/>
  <c r="E29" i="10"/>
  <c r="E67" i="10" s="1"/>
  <c r="E51" i="10" s="1"/>
  <c r="E28" i="10"/>
  <c r="E66" i="10" s="1"/>
  <c r="E26" i="10"/>
  <c r="E64" i="10" s="1"/>
  <c r="E17" i="10"/>
  <c r="E16" i="10" s="1"/>
  <c r="E35" i="9"/>
  <c r="E34" i="9" s="1"/>
  <c r="E33" i="9"/>
  <c r="E32" i="9" s="1"/>
  <c r="F18" i="9"/>
  <c r="E18" i="9"/>
  <c r="F14" i="9"/>
  <c r="F13" i="9" s="1"/>
  <c r="E14" i="9"/>
  <c r="E53" i="8"/>
  <c r="E51" i="8"/>
  <c r="E50" i="8" s="1"/>
  <c r="E49" i="8"/>
  <c r="E48" i="8"/>
  <c r="E47" i="8" s="1"/>
  <c r="E46" i="8"/>
  <c r="E45" i="8"/>
  <c r="E44" i="8"/>
  <c r="E36" i="8"/>
  <c r="E35" i="8"/>
  <c r="E34" i="8"/>
  <c r="E33" i="8"/>
  <c r="E31" i="8"/>
  <c r="E30" i="8"/>
  <c r="E29" i="8"/>
  <c r="E19" i="8"/>
  <c r="E11" i="8"/>
  <c r="N133" i="7"/>
  <c r="I133" i="7"/>
  <c r="E133" i="7"/>
  <c r="N132" i="7"/>
  <c r="I132" i="7"/>
  <c r="E132" i="7"/>
  <c r="N131" i="7"/>
  <c r="I131" i="7"/>
  <c r="E131" i="7"/>
  <c r="N130" i="7"/>
  <c r="I130" i="7"/>
  <c r="E130" i="7"/>
  <c r="N129" i="7"/>
  <c r="I129" i="7"/>
  <c r="E129" i="7"/>
  <c r="N128" i="7"/>
  <c r="I128" i="7"/>
  <c r="E128" i="7"/>
  <c r="N127" i="7"/>
  <c r="I127" i="7"/>
  <c r="E127" i="7"/>
  <c r="N126" i="7"/>
  <c r="I126" i="7"/>
  <c r="E126" i="7"/>
  <c r="N125" i="7"/>
  <c r="I125" i="7"/>
  <c r="E125" i="7"/>
  <c r="N124" i="7"/>
  <c r="I124" i="7"/>
  <c r="E124" i="7"/>
  <c r="N123" i="7"/>
  <c r="I123" i="7"/>
  <c r="E123" i="7"/>
  <c r="N122" i="7"/>
  <c r="I122" i="7"/>
  <c r="E122" i="7"/>
  <c r="N121" i="7"/>
  <c r="I121" i="7"/>
  <c r="E121" i="7"/>
  <c r="N120" i="7"/>
  <c r="I120" i="7"/>
  <c r="E120" i="7"/>
  <c r="N119" i="7"/>
  <c r="I119" i="7"/>
  <c r="E119" i="7"/>
  <c r="Q117" i="7"/>
  <c r="P117" i="7"/>
  <c r="O117" i="7"/>
  <c r="M117" i="7"/>
  <c r="L117" i="7"/>
  <c r="K117" i="7"/>
  <c r="J117" i="7"/>
  <c r="H117" i="7"/>
  <c r="G117" i="7"/>
  <c r="G32" i="7" s="1"/>
  <c r="F117" i="7"/>
  <c r="Q116" i="7"/>
  <c r="P116" i="7"/>
  <c r="O116" i="7"/>
  <c r="M116" i="7"/>
  <c r="L116" i="7"/>
  <c r="K116" i="7"/>
  <c r="J116" i="7"/>
  <c r="H116" i="7"/>
  <c r="G116" i="7"/>
  <c r="F116" i="7"/>
  <c r="Q115" i="7"/>
  <c r="P115" i="7"/>
  <c r="O115" i="7"/>
  <c r="M115" i="7"/>
  <c r="L115" i="7"/>
  <c r="K115" i="7"/>
  <c r="J115" i="7"/>
  <c r="H115" i="7"/>
  <c r="G115" i="7"/>
  <c r="F115" i="7"/>
  <c r="D114" i="7"/>
  <c r="Q113" i="7"/>
  <c r="P113" i="7"/>
  <c r="O113" i="7"/>
  <c r="M113" i="7"/>
  <c r="L113" i="7"/>
  <c r="K113" i="7"/>
  <c r="J113" i="7"/>
  <c r="H113" i="7"/>
  <c r="G113" i="7"/>
  <c r="F113" i="7"/>
  <c r="Q112" i="7"/>
  <c r="P112" i="7"/>
  <c r="O112" i="7"/>
  <c r="M112" i="7"/>
  <c r="L112" i="7"/>
  <c r="K112" i="7"/>
  <c r="J112" i="7"/>
  <c r="H112" i="7"/>
  <c r="G112" i="7"/>
  <c r="F112" i="7"/>
  <c r="D111" i="7"/>
  <c r="Q110" i="7"/>
  <c r="P110" i="7"/>
  <c r="O110" i="7"/>
  <c r="M110" i="7"/>
  <c r="L110" i="7"/>
  <c r="K110" i="7"/>
  <c r="J110" i="7"/>
  <c r="H110" i="7"/>
  <c r="G110" i="7"/>
  <c r="F110" i="7"/>
  <c r="Q109" i="7"/>
  <c r="P109" i="7"/>
  <c r="O109" i="7"/>
  <c r="M109" i="7"/>
  <c r="M24" i="7" s="1"/>
  <c r="L109" i="7"/>
  <c r="K109" i="7"/>
  <c r="J109" i="7"/>
  <c r="H109" i="7"/>
  <c r="G109" i="7"/>
  <c r="F109" i="7"/>
  <c r="D108" i="7"/>
  <c r="Q107" i="7"/>
  <c r="Q106" i="7" s="1"/>
  <c r="P107" i="7"/>
  <c r="P106" i="7" s="1"/>
  <c r="O107" i="7"/>
  <c r="M107" i="7"/>
  <c r="L107" i="7"/>
  <c r="L106" i="7" s="1"/>
  <c r="K107" i="7"/>
  <c r="K106" i="7" s="1"/>
  <c r="J107" i="7"/>
  <c r="J106" i="7" s="1"/>
  <c r="H107" i="7"/>
  <c r="H106" i="7" s="1"/>
  <c r="G107" i="7"/>
  <c r="G106" i="7" s="1"/>
  <c r="F107" i="7"/>
  <c r="F106" i="7" s="1"/>
  <c r="O106" i="7"/>
  <c r="M106" i="7"/>
  <c r="D106" i="7"/>
  <c r="Q105" i="7"/>
  <c r="P105" i="7"/>
  <c r="O105" i="7"/>
  <c r="M105" i="7"/>
  <c r="L105" i="7"/>
  <c r="K105" i="7"/>
  <c r="J105" i="7"/>
  <c r="H105" i="7"/>
  <c r="G105" i="7"/>
  <c r="F105" i="7"/>
  <c r="Q104" i="7"/>
  <c r="P104" i="7"/>
  <c r="P18" i="7" s="1"/>
  <c r="O104" i="7"/>
  <c r="M104" i="7"/>
  <c r="L104" i="7"/>
  <c r="K104" i="7"/>
  <c r="J104" i="7"/>
  <c r="H104" i="7"/>
  <c r="G104" i="7"/>
  <c r="F104" i="7"/>
  <c r="Q103" i="7"/>
  <c r="P103" i="7"/>
  <c r="O103" i="7"/>
  <c r="M103" i="7"/>
  <c r="L103" i="7"/>
  <c r="K103" i="7"/>
  <c r="J103" i="7"/>
  <c r="H103" i="7"/>
  <c r="G103" i="7"/>
  <c r="F103" i="7"/>
  <c r="Q102" i="7"/>
  <c r="P102" i="7"/>
  <c r="O102" i="7"/>
  <c r="M102" i="7"/>
  <c r="L102" i="7"/>
  <c r="K102" i="7"/>
  <c r="J102" i="7"/>
  <c r="H102" i="7"/>
  <c r="G102" i="7"/>
  <c r="F102" i="7"/>
  <c r="D101" i="7"/>
  <c r="Q100" i="7"/>
  <c r="P100" i="7"/>
  <c r="O100" i="7"/>
  <c r="M100" i="7"/>
  <c r="L100" i="7"/>
  <c r="K100" i="7"/>
  <c r="J100" i="7"/>
  <c r="H100" i="7"/>
  <c r="G100" i="7"/>
  <c r="F100" i="7"/>
  <c r="Q99" i="7"/>
  <c r="P99" i="7"/>
  <c r="P13" i="7" s="1"/>
  <c r="O99" i="7"/>
  <c r="M99" i="7"/>
  <c r="L99" i="7"/>
  <c r="K99" i="7"/>
  <c r="J99" i="7"/>
  <c r="H99" i="7"/>
  <c r="G99" i="7"/>
  <c r="F99" i="7"/>
  <c r="Q98" i="7"/>
  <c r="P98" i="7"/>
  <c r="O98" i="7"/>
  <c r="M98" i="7"/>
  <c r="L98" i="7"/>
  <c r="L12" i="7" s="1"/>
  <c r="K98" i="7"/>
  <c r="J98" i="7"/>
  <c r="H98" i="7"/>
  <c r="G98" i="7"/>
  <c r="F98" i="7"/>
  <c r="D97" i="7"/>
  <c r="N95" i="7"/>
  <c r="I95" i="7"/>
  <c r="E95" i="7"/>
  <c r="N94" i="7"/>
  <c r="I94" i="7"/>
  <c r="E94" i="7"/>
  <c r="N93" i="7"/>
  <c r="I93" i="7"/>
  <c r="E93" i="7"/>
  <c r="N92" i="7"/>
  <c r="I92" i="7"/>
  <c r="E92" i="7"/>
  <c r="N91" i="7"/>
  <c r="I91" i="7"/>
  <c r="E91" i="7"/>
  <c r="N90" i="7"/>
  <c r="I90" i="7"/>
  <c r="E90" i="7"/>
  <c r="N89" i="7"/>
  <c r="I89" i="7"/>
  <c r="E89" i="7"/>
  <c r="N88" i="7"/>
  <c r="I88" i="7"/>
  <c r="E88" i="7"/>
  <c r="N87" i="7"/>
  <c r="I87" i="7"/>
  <c r="E87" i="7"/>
  <c r="N86" i="7"/>
  <c r="I86" i="7"/>
  <c r="E86" i="7"/>
  <c r="N85" i="7"/>
  <c r="I85" i="7"/>
  <c r="E85" i="7"/>
  <c r="N84" i="7"/>
  <c r="I84" i="7"/>
  <c r="E84" i="7"/>
  <c r="N83" i="7"/>
  <c r="I83" i="7"/>
  <c r="E83" i="7"/>
  <c r="N82" i="7"/>
  <c r="I82" i="7"/>
  <c r="E82" i="7"/>
  <c r="N81" i="7"/>
  <c r="I81" i="7"/>
  <c r="E81" i="7"/>
  <c r="N80" i="7"/>
  <c r="I80" i="7"/>
  <c r="E80" i="7"/>
  <c r="Q78" i="7"/>
  <c r="P78" i="7"/>
  <c r="O78" i="7"/>
  <c r="M78" i="7"/>
  <c r="L78" i="7"/>
  <c r="K78" i="7"/>
  <c r="J78" i="7"/>
  <c r="H78" i="7"/>
  <c r="G78" i="7"/>
  <c r="F78" i="7"/>
  <c r="Q77" i="7"/>
  <c r="P77" i="7"/>
  <c r="O77" i="7"/>
  <c r="M77" i="7"/>
  <c r="L77" i="7"/>
  <c r="K77" i="7"/>
  <c r="J77" i="7"/>
  <c r="H77" i="7"/>
  <c r="G77" i="7"/>
  <c r="G31" i="7" s="1"/>
  <c r="F77" i="7"/>
  <c r="Q76" i="7"/>
  <c r="P76" i="7"/>
  <c r="O76" i="7"/>
  <c r="M76" i="7"/>
  <c r="L76" i="7"/>
  <c r="K76" i="7"/>
  <c r="J76" i="7"/>
  <c r="H76" i="7"/>
  <c r="G76" i="7"/>
  <c r="F76" i="7"/>
  <c r="D75" i="7"/>
  <c r="Q74" i="7"/>
  <c r="P74" i="7"/>
  <c r="O74" i="7"/>
  <c r="M74" i="7"/>
  <c r="L74" i="7"/>
  <c r="K74" i="7"/>
  <c r="J74" i="7"/>
  <c r="H74" i="7"/>
  <c r="G74" i="7"/>
  <c r="F74" i="7"/>
  <c r="Q73" i="7"/>
  <c r="P73" i="7"/>
  <c r="P27" i="7" s="1"/>
  <c r="O73" i="7"/>
  <c r="M73" i="7"/>
  <c r="M27" i="7" s="1"/>
  <c r="L73" i="7"/>
  <c r="K73" i="7"/>
  <c r="K27" i="7" s="1"/>
  <c r="J73" i="7"/>
  <c r="J27" i="7" s="1"/>
  <c r="H73" i="7"/>
  <c r="H27" i="7" s="1"/>
  <c r="G73" i="7"/>
  <c r="F73" i="7"/>
  <c r="D72" i="7"/>
  <c r="Q71" i="7"/>
  <c r="P71" i="7"/>
  <c r="O71" i="7"/>
  <c r="M71" i="7"/>
  <c r="L71" i="7"/>
  <c r="K71" i="7"/>
  <c r="J71" i="7"/>
  <c r="H71" i="7"/>
  <c r="G71" i="7"/>
  <c r="F71" i="7"/>
  <c r="F25" i="7" s="1"/>
  <c r="Q70" i="7"/>
  <c r="P70" i="7"/>
  <c r="O70" i="7"/>
  <c r="M70" i="7"/>
  <c r="L70" i="7"/>
  <c r="K70" i="7"/>
  <c r="K24" i="7" s="1"/>
  <c r="J70" i="7"/>
  <c r="H70" i="7"/>
  <c r="G70" i="7"/>
  <c r="F70" i="7"/>
  <c r="D69" i="7"/>
  <c r="Q68" i="7"/>
  <c r="Q22" i="7" s="1"/>
  <c r="P68" i="7"/>
  <c r="P22" i="7" s="1"/>
  <c r="O68" i="7"/>
  <c r="M68" i="7"/>
  <c r="M22" i="7" s="1"/>
  <c r="L68" i="7"/>
  <c r="K68" i="7"/>
  <c r="J68" i="7"/>
  <c r="H68" i="7"/>
  <c r="H22" i="7" s="1"/>
  <c r="G68" i="7"/>
  <c r="F68" i="7"/>
  <c r="Q67" i="7"/>
  <c r="P67" i="7"/>
  <c r="P21" i="7" s="1"/>
  <c r="O67" i="7"/>
  <c r="M67" i="7"/>
  <c r="L67" i="7"/>
  <c r="K67" i="7"/>
  <c r="J67" i="7"/>
  <c r="H67" i="7"/>
  <c r="G67" i="7"/>
  <c r="F67" i="7"/>
  <c r="D66" i="7"/>
  <c r="Q65" i="7"/>
  <c r="P65" i="7"/>
  <c r="O65" i="7"/>
  <c r="M65" i="7"/>
  <c r="L65" i="7"/>
  <c r="K65" i="7"/>
  <c r="J65" i="7"/>
  <c r="J19" i="7" s="1"/>
  <c r="H65" i="7"/>
  <c r="G65" i="7"/>
  <c r="F65" i="7"/>
  <c r="Q64" i="7"/>
  <c r="P64" i="7"/>
  <c r="O64" i="7"/>
  <c r="O18" i="7" s="1"/>
  <c r="M64" i="7"/>
  <c r="L64" i="7"/>
  <c r="K64" i="7"/>
  <c r="J64" i="7"/>
  <c r="J18" i="7" s="1"/>
  <c r="H64" i="7"/>
  <c r="G64" i="7"/>
  <c r="F64" i="7"/>
  <c r="Q63" i="7"/>
  <c r="P63" i="7"/>
  <c r="O63" i="7"/>
  <c r="M63" i="7"/>
  <c r="L63" i="7"/>
  <c r="K63" i="7"/>
  <c r="J63" i="7"/>
  <c r="H63" i="7"/>
  <c r="G63" i="7"/>
  <c r="F63" i="7"/>
  <c r="Q62" i="7"/>
  <c r="P62" i="7"/>
  <c r="O62" i="7"/>
  <c r="M62" i="7"/>
  <c r="L62" i="7"/>
  <c r="K62" i="7"/>
  <c r="K16" i="7" s="1"/>
  <c r="J62" i="7"/>
  <c r="J16" i="7" s="1"/>
  <c r="H62" i="7"/>
  <c r="G62" i="7"/>
  <c r="F62" i="7"/>
  <c r="D61" i="7"/>
  <c r="Q60" i="7"/>
  <c r="P60" i="7"/>
  <c r="O60" i="7"/>
  <c r="M60" i="7"/>
  <c r="L60" i="7"/>
  <c r="K60" i="7"/>
  <c r="J60" i="7"/>
  <c r="H60" i="7"/>
  <c r="G60" i="7"/>
  <c r="F60" i="7"/>
  <c r="Q59" i="7"/>
  <c r="P59" i="7"/>
  <c r="O59" i="7"/>
  <c r="M59" i="7"/>
  <c r="L59" i="7"/>
  <c r="K59" i="7"/>
  <c r="J59" i="7"/>
  <c r="H59" i="7"/>
  <c r="G59" i="7"/>
  <c r="F59" i="7"/>
  <c r="F13" i="7" s="1"/>
  <c r="Q58" i="7"/>
  <c r="P58" i="7"/>
  <c r="O58" i="7"/>
  <c r="M58" i="7"/>
  <c r="L58" i="7"/>
  <c r="K58" i="7"/>
  <c r="J58" i="7"/>
  <c r="H58" i="7"/>
  <c r="G58" i="7"/>
  <c r="F58" i="7"/>
  <c r="D57" i="7"/>
  <c r="N55" i="7"/>
  <c r="I55" i="7"/>
  <c r="E55" i="7"/>
  <c r="N54" i="7"/>
  <c r="I54" i="7"/>
  <c r="E54" i="7"/>
  <c r="N53" i="7"/>
  <c r="I53" i="7"/>
  <c r="E53" i="7"/>
  <c r="Q52" i="7"/>
  <c r="P52" i="7"/>
  <c r="O52" i="7"/>
  <c r="M52" i="7"/>
  <c r="L52" i="7"/>
  <c r="K52" i="7"/>
  <c r="J52" i="7"/>
  <c r="H52" i="7"/>
  <c r="G52" i="7"/>
  <c r="F52" i="7"/>
  <c r="N51" i="7"/>
  <c r="I51" i="7"/>
  <c r="E51" i="7"/>
  <c r="N50" i="7"/>
  <c r="I50" i="7"/>
  <c r="E50" i="7"/>
  <c r="Q49" i="7"/>
  <c r="P49" i="7"/>
  <c r="O49" i="7"/>
  <c r="M49" i="7"/>
  <c r="L49" i="7"/>
  <c r="K49" i="7"/>
  <c r="J49" i="7"/>
  <c r="H49" i="7"/>
  <c r="G49" i="7"/>
  <c r="F49" i="7"/>
  <c r="N48" i="7"/>
  <c r="I48" i="7"/>
  <c r="E48" i="7"/>
  <c r="N47" i="7"/>
  <c r="I47" i="7"/>
  <c r="E47" i="7"/>
  <c r="Q46" i="7"/>
  <c r="P46" i="7"/>
  <c r="O46" i="7"/>
  <c r="M46" i="7"/>
  <c r="L46" i="7"/>
  <c r="K46" i="7"/>
  <c r="J46" i="7"/>
  <c r="H46" i="7"/>
  <c r="G46" i="7"/>
  <c r="F46" i="7"/>
  <c r="N45" i="7"/>
  <c r="I45" i="7"/>
  <c r="E45" i="7"/>
  <c r="N44" i="7"/>
  <c r="I44" i="7"/>
  <c r="E44" i="7"/>
  <c r="Q43" i="7"/>
  <c r="P43" i="7"/>
  <c r="O43" i="7"/>
  <c r="M43" i="7"/>
  <c r="L43" i="7"/>
  <c r="K43" i="7"/>
  <c r="J43" i="7"/>
  <c r="H43" i="7"/>
  <c r="G43" i="7"/>
  <c r="F43" i="7"/>
  <c r="N42" i="7"/>
  <c r="I42" i="7"/>
  <c r="E42" i="7"/>
  <c r="N41" i="7"/>
  <c r="I41" i="7"/>
  <c r="E41" i="7"/>
  <c r="N40" i="7"/>
  <c r="I40" i="7"/>
  <c r="E40" i="7"/>
  <c r="N39" i="7"/>
  <c r="I39" i="7"/>
  <c r="E39" i="7"/>
  <c r="Q38" i="7"/>
  <c r="P38" i="7"/>
  <c r="O38" i="7"/>
  <c r="M38" i="7"/>
  <c r="L38" i="7"/>
  <c r="K38" i="7"/>
  <c r="J38" i="7"/>
  <c r="H38" i="7"/>
  <c r="G38" i="7"/>
  <c r="F38" i="7"/>
  <c r="N37" i="7"/>
  <c r="I37" i="7"/>
  <c r="E37" i="7"/>
  <c r="N36" i="7"/>
  <c r="I36" i="7"/>
  <c r="E36" i="7"/>
  <c r="N35" i="7"/>
  <c r="I35" i="7"/>
  <c r="E35" i="7"/>
  <c r="Q34" i="7"/>
  <c r="P34" i="7"/>
  <c r="O34" i="7"/>
  <c r="M34" i="7"/>
  <c r="L34" i="7"/>
  <c r="K34" i="7"/>
  <c r="J34" i="7"/>
  <c r="H34" i="7"/>
  <c r="G34" i="7"/>
  <c r="F34" i="7"/>
  <c r="Q32" i="7"/>
  <c r="P32" i="7"/>
  <c r="K32" i="7"/>
  <c r="M31" i="7"/>
  <c r="G30" i="7"/>
  <c r="Q27" i="7"/>
  <c r="K25" i="7"/>
  <c r="J24" i="7"/>
  <c r="H24" i="7"/>
  <c r="O22" i="7"/>
  <c r="L22" i="7"/>
  <c r="K22" i="7"/>
  <c r="J22" i="7"/>
  <c r="G22" i="7"/>
  <c r="F22" i="7"/>
  <c r="F21" i="7"/>
  <c r="O19" i="7"/>
  <c r="L18" i="7"/>
  <c r="F18" i="7"/>
  <c r="F17" i="7"/>
  <c r="H14" i="7"/>
  <c r="J13" i="7"/>
  <c r="D11" i="6"/>
  <c r="D230" i="5"/>
  <c r="D213" i="5"/>
  <c r="D210" i="5"/>
  <c r="D206" i="5"/>
  <c r="D201" i="5"/>
  <c r="D194" i="5"/>
  <c r="D192" i="5"/>
  <c r="D189" i="5"/>
  <c r="D187" i="5"/>
  <c r="N185" i="5"/>
  <c r="I185" i="5"/>
  <c r="E185" i="5"/>
  <c r="N184" i="5"/>
  <c r="I184" i="5"/>
  <c r="E184" i="5"/>
  <c r="N183" i="5"/>
  <c r="I183" i="5"/>
  <c r="E183" i="5"/>
  <c r="N182" i="5"/>
  <c r="I182" i="5"/>
  <c r="E182" i="5"/>
  <c r="N181" i="5"/>
  <c r="I181" i="5"/>
  <c r="E181" i="5"/>
  <c r="N180" i="5"/>
  <c r="I180" i="5"/>
  <c r="E180" i="5"/>
  <c r="N179" i="5"/>
  <c r="I179" i="5"/>
  <c r="E179" i="5"/>
  <c r="N178" i="5"/>
  <c r="I178" i="5"/>
  <c r="E178" i="5"/>
  <c r="N177" i="5"/>
  <c r="I177" i="5"/>
  <c r="E177" i="5"/>
  <c r="N176" i="5"/>
  <c r="I176" i="5"/>
  <c r="E176" i="5"/>
  <c r="N175" i="5"/>
  <c r="I175" i="5"/>
  <c r="E175" i="5"/>
  <c r="N174" i="5"/>
  <c r="I174" i="5"/>
  <c r="E174" i="5"/>
  <c r="N173" i="5"/>
  <c r="I173" i="5"/>
  <c r="E173" i="5"/>
  <c r="N172" i="5"/>
  <c r="I172" i="5"/>
  <c r="E172" i="5"/>
  <c r="N171" i="5"/>
  <c r="I171" i="5"/>
  <c r="E171" i="5"/>
  <c r="N170" i="5"/>
  <c r="I170" i="5"/>
  <c r="E170" i="5"/>
  <c r="N168" i="5"/>
  <c r="I168" i="5"/>
  <c r="E168" i="5"/>
  <c r="N167" i="5"/>
  <c r="I167" i="5"/>
  <c r="E167" i="5"/>
  <c r="N165" i="5"/>
  <c r="I165" i="5"/>
  <c r="E165" i="5"/>
  <c r="N164" i="5"/>
  <c r="I164" i="5"/>
  <c r="E164" i="5"/>
  <c r="N163" i="5"/>
  <c r="I163" i="5"/>
  <c r="E163" i="5"/>
  <c r="N161" i="5"/>
  <c r="I161" i="5"/>
  <c r="E161" i="5"/>
  <c r="N160" i="5"/>
  <c r="I160" i="5"/>
  <c r="E160" i="5"/>
  <c r="N159" i="5"/>
  <c r="I159" i="5"/>
  <c r="E159" i="5"/>
  <c r="N158" i="5"/>
  <c r="I158" i="5"/>
  <c r="E158" i="5"/>
  <c r="N156" i="5"/>
  <c r="I156" i="5"/>
  <c r="E156" i="5"/>
  <c r="E105" i="5" s="1"/>
  <c r="N155" i="5"/>
  <c r="I155" i="5"/>
  <c r="E155" i="5"/>
  <c r="E104" i="5" s="1"/>
  <c r="N154" i="5"/>
  <c r="I154" i="5"/>
  <c r="E154" i="5"/>
  <c r="E103" i="5" s="1"/>
  <c r="N153" i="5"/>
  <c r="I153" i="5"/>
  <c r="E153" i="5"/>
  <c r="E102" i="5" s="1"/>
  <c r="N152" i="5"/>
  <c r="I152" i="5"/>
  <c r="E152" i="5"/>
  <c r="N151" i="5"/>
  <c r="I151" i="5"/>
  <c r="E151" i="5"/>
  <c r="E100" i="5" s="1"/>
  <c r="N149" i="5"/>
  <c r="I149" i="5"/>
  <c r="E149" i="5"/>
  <c r="E98" i="5" s="1"/>
  <c r="N147" i="5"/>
  <c r="I147" i="5"/>
  <c r="E147" i="5"/>
  <c r="N146" i="5"/>
  <c r="I146" i="5"/>
  <c r="E146" i="5"/>
  <c r="N144" i="5"/>
  <c r="I144" i="5"/>
  <c r="E144" i="5"/>
  <c r="N143" i="5"/>
  <c r="I143" i="5"/>
  <c r="E143" i="5"/>
  <c r="Q140" i="5"/>
  <c r="P140" i="5"/>
  <c r="O140" i="5"/>
  <c r="M140" i="5"/>
  <c r="L140" i="5"/>
  <c r="K140" i="5"/>
  <c r="J140" i="5"/>
  <c r="H140" i="5"/>
  <c r="G140" i="5"/>
  <c r="F140" i="5"/>
  <c r="Q139" i="5"/>
  <c r="P139" i="5"/>
  <c r="O139" i="5"/>
  <c r="M139" i="5"/>
  <c r="L139" i="5"/>
  <c r="K139" i="5"/>
  <c r="J139" i="5"/>
  <c r="H139" i="5"/>
  <c r="G139" i="5"/>
  <c r="F139" i="5"/>
  <c r="Q138" i="5"/>
  <c r="P138" i="5"/>
  <c r="O138" i="5"/>
  <c r="M138" i="5"/>
  <c r="L138" i="5"/>
  <c r="K138" i="5"/>
  <c r="J138" i="5"/>
  <c r="H138" i="5"/>
  <c r="G138" i="5"/>
  <c r="F138" i="5"/>
  <c r="Q137" i="5"/>
  <c r="P137" i="5"/>
  <c r="O137" i="5"/>
  <c r="M137" i="5"/>
  <c r="L137" i="5"/>
  <c r="K137" i="5"/>
  <c r="J137" i="5"/>
  <c r="H137" i="5"/>
  <c r="G137" i="5"/>
  <c r="F137" i="5"/>
  <c r="Q136" i="5"/>
  <c r="P136" i="5"/>
  <c r="O136" i="5"/>
  <c r="M136" i="5"/>
  <c r="L136" i="5"/>
  <c r="K136" i="5"/>
  <c r="J136" i="5"/>
  <c r="H136" i="5"/>
  <c r="G136" i="5"/>
  <c r="F136" i="5"/>
  <c r="Q135" i="5"/>
  <c r="P135" i="5"/>
  <c r="O135" i="5"/>
  <c r="M135" i="5"/>
  <c r="L135" i="5"/>
  <c r="K135" i="5"/>
  <c r="J135" i="5"/>
  <c r="H135" i="5"/>
  <c r="G135" i="5"/>
  <c r="F135" i="5"/>
  <c r="D134" i="5"/>
  <c r="Q133" i="5"/>
  <c r="P133" i="5"/>
  <c r="O133" i="5"/>
  <c r="M133" i="5"/>
  <c r="L133" i="5"/>
  <c r="K133" i="5"/>
  <c r="J133" i="5"/>
  <c r="H133" i="5"/>
  <c r="G133" i="5"/>
  <c r="F133" i="5"/>
  <c r="Q132" i="5"/>
  <c r="P132" i="5"/>
  <c r="O132" i="5"/>
  <c r="M132" i="5"/>
  <c r="L132" i="5"/>
  <c r="K132" i="5"/>
  <c r="J132" i="5"/>
  <c r="H132" i="5"/>
  <c r="G132" i="5"/>
  <c r="F132" i="5"/>
  <c r="Q131" i="5"/>
  <c r="P131" i="5"/>
  <c r="O131" i="5"/>
  <c r="M131" i="5"/>
  <c r="L131" i="5"/>
  <c r="K131" i="5"/>
  <c r="J131" i="5"/>
  <c r="H131" i="5"/>
  <c r="G131" i="5"/>
  <c r="F131" i="5"/>
  <c r="Q130" i="5"/>
  <c r="P130" i="5"/>
  <c r="O130" i="5"/>
  <c r="M130" i="5"/>
  <c r="L130" i="5"/>
  <c r="K130" i="5"/>
  <c r="J130" i="5"/>
  <c r="H130" i="5"/>
  <c r="G130" i="5"/>
  <c r="F130" i="5"/>
  <c r="Q129" i="5"/>
  <c r="P129" i="5"/>
  <c r="O129" i="5"/>
  <c r="M129" i="5"/>
  <c r="L129" i="5"/>
  <c r="K129" i="5"/>
  <c r="J129" i="5"/>
  <c r="H129" i="5"/>
  <c r="G129" i="5"/>
  <c r="F129" i="5"/>
  <c r="Q128" i="5"/>
  <c r="P128" i="5"/>
  <c r="O128" i="5"/>
  <c r="M128" i="5"/>
  <c r="L128" i="5"/>
  <c r="K128" i="5"/>
  <c r="J128" i="5"/>
  <c r="H128" i="5"/>
  <c r="G128" i="5"/>
  <c r="F128" i="5"/>
  <c r="Q127" i="5"/>
  <c r="P127" i="5"/>
  <c r="O127" i="5"/>
  <c r="M127" i="5"/>
  <c r="L127" i="5"/>
  <c r="K127" i="5"/>
  <c r="J127" i="5"/>
  <c r="H127" i="5"/>
  <c r="G127" i="5"/>
  <c r="F127" i="5"/>
  <c r="Q126" i="5"/>
  <c r="P126" i="5"/>
  <c r="O126" i="5"/>
  <c r="M126" i="5"/>
  <c r="L126" i="5"/>
  <c r="K126" i="5"/>
  <c r="J126" i="5"/>
  <c r="H126" i="5"/>
  <c r="G126" i="5"/>
  <c r="F126" i="5"/>
  <c r="Q125" i="5"/>
  <c r="P125" i="5"/>
  <c r="O125" i="5"/>
  <c r="M125" i="5"/>
  <c r="L125" i="5"/>
  <c r="K125" i="5"/>
  <c r="J125" i="5"/>
  <c r="H125" i="5"/>
  <c r="G125" i="5"/>
  <c r="F125" i="5"/>
  <c r="Q124" i="5"/>
  <c r="P124" i="5"/>
  <c r="O124" i="5"/>
  <c r="M124" i="5"/>
  <c r="L124" i="5"/>
  <c r="K124" i="5"/>
  <c r="J124" i="5"/>
  <c r="H124" i="5"/>
  <c r="G124" i="5"/>
  <c r="F124" i="5"/>
  <c r="Q123" i="5"/>
  <c r="P123" i="5"/>
  <c r="O123" i="5"/>
  <c r="M123" i="5"/>
  <c r="L123" i="5"/>
  <c r="K123" i="5"/>
  <c r="J123" i="5"/>
  <c r="H123" i="5"/>
  <c r="G123" i="5"/>
  <c r="F123" i="5"/>
  <c r="Q122" i="5"/>
  <c r="P122" i="5"/>
  <c r="O122" i="5"/>
  <c r="M122" i="5"/>
  <c r="L122" i="5"/>
  <c r="K122" i="5"/>
  <c r="J122" i="5"/>
  <c r="H122" i="5"/>
  <c r="G122" i="5"/>
  <c r="F122" i="5"/>
  <c r="Q121" i="5"/>
  <c r="P121" i="5"/>
  <c r="O121" i="5"/>
  <c r="M121" i="5"/>
  <c r="L121" i="5"/>
  <c r="K121" i="5"/>
  <c r="J121" i="5"/>
  <c r="H121" i="5"/>
  <c r="G121" i="5"/>
  <c r="F121" i="5"/>
  <c r="Q120" i="5"/>
  <c r="P120" i="5"/>
  <c r="O120" i="5"/>
  <c r="M120" i="5"/>
  <c r="L120" i="5"/>
  <c r="K120" i="5"/>
  <c r="J120" i="5"/>
  <c r="H120" i="5"/>
  <c r="G120" i="5"/>
  <c r="F120" i="5"/>
  <c r="Q119" i="5"/>
  <c r="P119" i="5"/>
  <c r="O119" i="5"/>
  <c r="M119" i="5"/>
  <c r="L119" i="5"/>
  <c r="K119" i="5"/>
  <c r="J119" i="5"/>
  <c r="H119" i="5"/>
  <c r="G119" i="5"/>
  <c r="F119" i="5"/>
  <c r="D118" i="5"/>
  <c r="Q117" i="5"/>
  <c r="P117" i="5"/>
  <c r="O117" i="5"/>
  <c r="M117" i="5"/>
  <c r="L117" i="5"/>
  <c r="K117" i="5"/>
  <c r="J117" i="5"/>
  <c r="H117" i="5"/>
  <c r="G117" i="5"/>
  <c r="F117" i="5"/>
  <c r="Q116" i="5"/>
  <c r="P116" i="5"/>
  <c r="O116" i="5"/>
  <c r="M116" i="5"/>
  <c r="L116" i="5"/>
  <c r="K116" i="5"/>
  <c r="J116" i="5"/>
  <c r="H116" i="5"/>
  <c r="G116" i="5"/>
  <c r="F116" i="5"/>
  <c r="D115" i="5"/>
  <c r="Q114" i="5"/>
  <c r="P114" i="5"/>
  <c r="O114" i="5"/>
  <c r="M114" i="5"/>
  <c r="L114" i="5"/>
  <c r="K114" i="5"/>
  <c r="J114" i="5"/>
  <c r="H114" i="5"/>
  <c r="G114" i="5"/>
  <c r="F114" i="5"/>
  <c r="Q113" i="5"/>
  <c r="P113" i="5"/>
  <c r="O113" i="5"/>
  <c r="M113" i="5"/>
  <c r="L113" i="5"/>
  <c r="K113" i="5"/>
  <c r="J113" i="5"/>
  <c r="H113" i="5"/>
  <c r="G113" i="5"/>
  <c r="F113" i="5"/>
  <c r="Q112" i="5"/>
  <c r="P112" i="5"/>
  <c r="O112" i="5"/>
  <c r="M112" i="5"/>
  <c r="L112" i="5"/>
  <c r="K112" i="5"/>
  <c r="J112" i="5"/>
  <c r="H112" i="5"/>
  <c r="G112" i="5"/>
  <c r="F112" i="5"/>
  <c r="D111" i="5"/>
  <c r="Q110" i="5"/>
  <c r="P110" i="5"/>
  <c r="O110" i="5"/>
  <c r="M110" i="5"/>
  <c r="L110" i="5"/>
  <c r="K110" i="5"/>
  <c r="J110" i="5"/>
  <c r="H110" i="5"/>
  <c r="G110" i="5"/>
  <c r="F110" i="5"/>
  <c r="Q109" i="5"/>
  <c r="P109" i="5"/>
  <c r="O109" i="5"/>
  <c r="M109" i="5"/>
  <c r="L109" i="5"/>
  <c r="K109" i="5"/>
  <c r="J109" i="5"/>
  <c r="H109" i="5"/>
  <c r="G109" i="5"/>
  <c r="F109" i="5"/>
  <c r="Q108" i="5"/>
  <c r="P108" i="5"/>
  <c r="O108" i="5"/>
  <c r="M108" i="5"/>
  <c r="L108" i="5"/>
  <c r="K108" i="5"/>
  <c r="J108" i="5"/>
  <c r="H108" i="5"/>
  <c r="G108" i="5"/>
  <c r="F108" i="5"/>
  <c r="Q107" i="5"/>
  <c r="P107" i="5"/>
  <c r="O107" i="5"/>
  <c r="M107" i="5"/>
  <c r="L107" i="5"/>
  <c r="K107" i="5"/>
  <c r="J107" i="5"/>
  <c r="H107" i="5"/>
  <c r="G107" i="5"/>
  <c r="F107" i="5"/>
  <c r="D106" i="5"/>
  <c r="Q105" i="5"/>
  <c r="P105" i="5"/>
  <c r="O105" i="5"/>
  <c r="M105" i="5"/>
  <c r="L105" i="5"/>
  <c r="K105" i="5"/>
  <c r="J105" i="5"/>
  <c r="H105" i="5"/>
  <c r="G105" i="5"/>
  <c r="F105" i="5"/>
  <c r="Q104" i="5"/>
  <c r="P104" i="5"/>
  <c r="O104" i="5"/>
  <c r="M104" i="5"/>
  <c r="L104" i="5"/>
  <c r="K104" i="5"/>
  <c r="J104" i="5"/>
  <c r="H104" i="5"/>
  <c r="G104" i="5"/>
  <c r="F104" i="5"/>
  <c r="Q103" i="5"/>
  <c r="P103" i="5"/>
  <c r="O103" i="5"/>
  <c r="M103" i="5"/>
  <c r="L103" i="5"/>
  <c r="K103" i="5"/>
  <c r="J103" i="5"/>
  <c r="H103" i="5"/>
  <c r="G103" i="5"/>
  <c r="F103" i="5"/>
  <c r="Q102" i="5"/>
  <c r="P102" i="5"/>
  <c r="O102" i="5"/>
  <c r="M102" i="5"/>
  <c r="L102" i="5"/>
  <c r="K102" i="5"/>
  <c r="J102" i="5"/>
  <c r="H102" i="5"/>
  <c r="G102" i="5"/>
  <c r="F102" i="5"/>
  <c r="Q101" i="5"/>
  <c r="P101" i="5"/>
  <c r="O101" i="5"/>
  <c r="M101" i="5"/>
  <c r="L101" i="5"/>
  <c r="K101" i="5"/>
  <c r="J101" i="5"/>
  <c r="H101" i="5"/>
  <c r="G101" i="5"/>
  <c r="F101" i="5"/>
  <c r="Q100" i="5"/>
  <c r="P100" i="5"/>
  <c r="O100" i="5"/>
  <c r="M100" i="5"/>
  <c r="L100" i="5"/>
  <c r="K100" i="5"/>
  <c r="J100" i="5"/>
  <c r="H100" i="5"/>
  <c r="G100" i="5"/>
  <c r="F100" i="5"/>
  <c r="D99" i="5"/>
  <c r="Q98" i="5"/>
  <c r="Q97" i="5" s="1"/>
  <c r="P98" i="5"/>
  <c r="P97" i="5" s="1"/>
  <c r="O98" i="5"/>
  <c r="O97" i="5" s="1"/>
  <c r="M98" i="5"/>
  <c r="M97" i="5" s="1"/>
  <c r="L98" i="5"/>
  <c r="L97" i="5" s="1"/>
  <c r="K98" i="5"/>
  <c r="K97" i="5" s="1"/>
  <c r="J98" i="5"/>
  <c r="J97" i="5" s="1"/>
  <c r="H98" i="5"/>
  <c r="H97" i="5" s="1"/>
  <c r="G98" i="5"/>
  <c r="G97" i="5" s="1"/>
  <c r="F98" i="5"/>
  <c r="F97" i="5" s="1"/>
  <c r="D97" i="5"/>
  <c r="Q96" i="5"/>
  <c r="P96" i="5"/>
  <c r="O96" i="5"/>
  <c r="M96" i="5"/>
  <c r="L96" i="5"/>
  <c r="K96" i="5"/>
  <c r="J96" i="5"/>
  <c r="H96" i="5"/>
  <c r="G96" i="5"/>
  <c r="F96" i="5"/>
  <c r="Q95" i="5"/>
  <c r="P95" i="5"/>
  <c r="O95" i="5"/>
  <c r="M95" i="5"/>
  <c r="L95" i="5"/>
  <c r="K95" i="5"/>
  <c r="J95" i="5"/>
  <c r="H95" i="5"/>
  <c r="G95" i="5"/>
  <c r="F95" i="5"/>
  <c r="D94" i="5"/>
  <c r="Q93" i="5"/>
  <c r="P93" i="5"/>
  <c r="O93" i="5"/>
  <c r="M93" i="5"/>
  <c r="L93" i="5"/>
  <c r="K93" i="5"/>
  <c r="J93" i="5"/>
  <c r="H93" i="5"/>
  <c r="G93" i="5"/>
  <c r="F93" i="5"/>
  <c r="Q92" i="5"/>
  <c r="Q14" i="5" s="1"/>
  <c r="P92" i="5"/>
  <c r="P14" i="5" s="1"/>
  <c r="O92" i="5"/>
  <c r="M92" i="5"/>
  <c r="M14" i="5" s="1"/>
  <c r="L92" i="5"/>
  <c r="L14" i="5" s="1"/>
  <c r="K92" i="5"/>
  <c r="K14" i="5" s="1"/>
  <c r="J92" i="5"/>
  <c r="J14" i="5" s="1"/>
  <c r="H92" i="5"/>
  <c r="H14" i="5" s="1"/>
  <c r="G92" i="5"/>
  <c r="G14" i="5" s="1"/>
  <c r="F92" i="5"/>
  <c r="D91" i="5"/>
  <c r="N89" i="5"/>
  <c r="I89" i="5"/>
  <c r="E89" i="5"/>
  <c r="N88" i="5"/>
  <c r="I88" i="5"/>
  <c r="E88" i="5"/>
  <c r="N87" i="5"/>
  <c r="I87" i="5"/>
  <c r="E87" i="5"/>
  <c r="N86" i="5"/>
  <c r="I86" i="5"/>
  <c r="E86" i="5"/>
  <c r="N85" i="5"/>
  <c r="I85" i="5"/>
  <c r="E85" i="5"/>
  <c r="N84" i="5"/>
  <c r="I84" i="5"/>
  <c r="E84" i="5"/>
  <c r="N83" i="5"/>
  <c r="I83" i="5"/>
  <c r="E83" i="5"/>
  <c r="Q82" i="5"/>
  <c r="P82" i="5"/>
  <c r="O82" i="5"/>
  <c r="M82" i="5"/>
  <c r="L82" i="5"/>
  <c r="K82" i="5"/>
  <c r="J82" i="5"/>
  <c r="H82" i="5"/>
  <c r="G82" i="5"/>
  <c r="F82" i="5"/>
  <c r="N81" i="5"/>
  <c r="I81" i="5"/>
  <c r="E81" i="5"/>
  <c r="N80" i="5"/>
  <c r="I80" i="5"/>
  <c r="E80" i="5"/>
  <c r="N79" i="5"/>
  <c r="I79" i="5"/>
  <c r="E79" i="5"/>
  <c r="N78" i="5"/>
  <c r="I78" i="5"/>
  <c r="E78" i="5"/>
  <c r="N77" i="5"/>
  <c r="I77" i="5"/>
  <c r="E77" i="5"/>
  <c r="N76" i="5"/>
  <c r="I76" i="5"/>
  <c r="E76" i="5"/>
  <c r="N75" i="5"/>
  <c r="I75" i="5"/>
  <c r="E75" i="5"/>
  <c r="N74" i="5"/>
  <c r="I74" i="5"/>
  <c r="E74" i="5"/>
  <c r="N73" i="5"/>
  <c r="I73" i="5"/>
  <c r="E73" i="5"/>
  <c r="N72" i="5"/>
  <c r="I72" i="5"/>
  <c r="E72" i="5"/>
  <c r="N71" i="5"/>
  <c r="I71" i="5"/>
  <c r="E71" i="5"/>
  <c r="N70" i="5"/>
  <c r="I70" i="5"/>
  <c r="E70" i="5"/>
  <c r="N69" i="5"/>
  <c r="I69" i="5"/>
  <c r="E69" i="5"/>
  <c r="N68" i="5"/>
  <c r="I68" i="5"/>
  <c r="E68" i="5"/>
  <c r="N67" i="5"/>
  <c r="I67" i="5"/>
  <c r="E67" i="5"/>
  <c r="Q66" i="5"/>
  <c r="P66" i="5"/>
  <c r="O66" i="5"/>
  <c r="M66" i="5"/>
  <c r="L66" i="5"/>
  <c r="K66" i="5"/>
  <c r="J66" i="5"/>
  <c r="H66" i="5"/>
  <c r="G66" i="5"/>
  <c r="F66" i="5"/>
  <c r="N65" i="5"/>
  <c r="I65" i="5"/>
  <c r="E65" i="5"/>
  <c r="N64" i="5"/>
  <c r="I64" i="5"/>
  <c r="E64" i="5"/>
  <c r="Q63" i="5"/>
  <c r="P63" i="5"/>
  <c r="O63" i="5"/>
  <c r="M63" i="5"/>
  <c r="L63" i="5"/>
  <c r="K63" i="5"/>
  <c r="J63" i="5"/>
  <c r="H63" i="5"/>
  <c r="G63" i="5"/>
  <c r="F63" i="5"/>
  <c r="N62" i="5"/>
  <c r="I62" i="5"/>
  <c r="E62" i="5"/>
  <c r="N61" i="5"/>
  <c r="I61" i="5"/>
  <c r="E61" i="5"/>
  <c r="N60" i="5"/>
  <c r="I60" i="5"/>
  <c r="E60" i="5"/>
  <c r="N59" i="5"/>
  <c r="I59" i="5"/>
  <c r="E59" i="5"/>
  <c r="N58" i="5"/>
  <c r="I58" i="5"/>
  <c r="E58" i="5"/>
  <c r="Q57" i="5"/>
  <c r="P57" i="5"/>
  <c r="O57" i="5"/>
  <c r="M57" i="5"/>
  <c r="L57" i="5"/>
  <c r="K57" i="5"/>
  <c r="J57" i="5"/>
  <c r="H57" i="5"/>
  <c r="G57" i="5"/>
  <c r="F57" i="5"/>
  <c r="N56" i="5"/>
  <c r="I56" i="5"/>
  <c r="E56" i="5"/>
  <c r="N55" i="5"/>
  <c r="I55" i="5"/>
  <c r="E55" i="5"/>
  <c r="N54" i="5"/>
  <c r="I54" i="5"/>
  <c r="E54" i="5"/>
  <c r="N53" i="5"/>
  <c r="I53" i="5"/>
  <c r="E31" i="9" s="1"/>
  <c r="E30" i="9" s="1"/>
  <c r="E53" i="5"/>
  <c r="Q52" i="5"/>
  <c r="P52" i="5"/>
  <c r="O52" i="5"/>
  <c r="M52" i="5"/>
  <c r="L52" i="5"/>
  <c r="K52" i="5"/>
  <c r="J52" i="5"/>
  <c r="H52" i="5"/>
  <c r="G52" i="5"/>
  <c r="F52" i="5"/>
  <c r="N51" i="5"/>
  <c r="I51" i="5"/>
  <c r="E51" i="5"/>
  <c r="N50" i="5"/>
  <c r="I50" i="5"/>
  <c r="E50" i="5"/>
  <c r="N49" i="5"/>
  <c r="I49" i="5"/>
  <c r="E49" i="5"/>
  <c r="N48" i="5"/>
  <c r="I48" i="5"/>
  <c r="E48" i="5"/>
  <c r="N47" i="5"/>
  <c r="I47" i="5"/>
  <c r="E47" i="5"/>
  <c r="N46" i="5"/>
  <c r="I46" i="5"/>
  <c r="E46" i="5"/>
  <c r="Q45" i="5"/>
  <c r="P45" i="5"/>
  <c r="O45" i="5"/>
  <c r="M45" i="5"/>
  <c r="L45" i="5"/>
  <c r="K45" i="5"/>
  <c r="J45" i="5"/>
  <c r="H45" i="5"/>
  <c r="G45" i="5"/>
  <c r="F45" i="5"/>
  <c r="N44" i="5"/>
  <c r="I44" i="5"/>
  <c r="E44" i="5"/>
  <c r="Q43" i="5"/>
  <c r="P43" i="5"/>
  <c r="O43" i="5"/>
  <c r="M43" i="5"/>
  <c r="L43" i="5"/>
  <c r="K43" i="5"/>
  <c r="J43" i="5"/>
  <c r="H43" i="5"/>
  <c r="G43" i="5"/>
  <c r="F43" i="5"/>
  <c r="N42" i="5"/>
  <c r="I42" i="5"/>
  <c r="E42" i="5"/>
  <c r="N41" i="5"/>
  <c r="I41" i="5"/>
  <c r="E41" i="5"/>
  <c r="Q40" i="5"/>
  <c r="P40" i="5"/>
  <c r="O40" i="5"/>
  <c r="M40" i="5"/>
  <c r="L40" i="5"/>
  <c r="K40" i="5"/>
  <c r="J40" i="5"/>
  <c r="H40" i="5"/>
  <c r="G40" i="5"/>
  <c r="F40" i="5"/>
  <c r="N39" i="5"/>
  <c r="I39" i="5"/>
  <c r="E39" i="5"/>
  <c r="N38" i="5"/>
  <c r="I38" i="5"/>
  <c r="E38" i="5"/>
  <c r="Q37" i="5"/>
  <c r="Q15" i="5" s="1"/>
  <c r="P37" i="5"/>
  <c r="P15" i="5" s="1"/>
  <c r="O37" i="5"/>
  <c r="O15" i="5" s="1"/>
  <c r="M37" i="5"/>
  <c r="M15" i="5" s="1"/>
  <c r="L37" i="5"/>
  <c r="L15" i="5" s="1"/>
  <c r="K37" i="5"/>
  <c r="K15" i="5" s="1"/>
  <c r="J37" i="5"/>
  <c r="J15" i="5" s="1"/>
  <c r="H37" i="5"/>
  <c r="H15" i="5" s="1"/>
  <c r="G37" i="5"/>
  <c r="G15" i="5" s="1"/>
  <c r="F37" i="5"/>
  <c r="N36" i="5"/>
  <c r="I36" i="5"/>
  <c r="E36" i="5"/>
  <c r="N35" i="5"/>
  <c r="I35" i="5"/>
  <c r="E35" i="5"/>
  <c r="Q34" i="5"/>
  <c r="P34" i="5"/>
  <c r="O34" i="5"/>
  <c r="M34" i="5"/>
  <c r="L34" i="5"/>
  <c r="K34" i="5"/>
  <c r="J34" i="5"/>
  <c r="H34" i="5"/>
  <c r="G34" i="5"/>
  <c r="F34" i="5"/>
  <c r="N33" i="5"/>
  <c r="I33" i="5"/>
  <c r="D33" i="5" s="1"/>
  <c r="N32" i="5"/>
  <c r="I32" i="5"/>
  <c r="D32" i="5" s="1"/>
  <c r="Q31" i="5"/>
  <c r="P31" i="5"/>
  <c r="O31" i="5"/>
  <c r="M31" i="5"/>
  <c r="L31" i="5"/>
  <c r="L12" i="5" s="1"/>
  <c r="K31" i="5"/>
  <c r="J31" i="5"/>
  <c r="J12" i="5" s="1"/>
  <c r="H31" i="5"/>
  <c r="G31" i="5"/>
  <c r="G12" i="5" s="1"/>
  <c r="F31" i="5"/>
  <c r="F12" i="5" s="1"/>
  <c r="N30" i="5"/>
  <c r="N11" i="5" s="1"/>
  <c r="I30" i="5"/>
  <c r="I11" i="5" s="1"/>
  <c r="E30" i="5"/>
  <c r="E11" i="5" s="1"/>
  <c r="F14" i="5"/>
  <c r="E12" i="5"/>
  <c r="Q11" i="5"/>
  <c r="P11" i="5"/>
  <c r="O11" i="5"/>
  <c r="M11" i="5"/>
  <c r="L11" i="5"/>
  <c r="K11" i="5"/>
  <c r="J11" i="5"/>
  <c r="H11" i="5"/>
  <c r="G11" i="5"/>
  <c r="F11" i="5"/>
  <c r="D86" i="4"/>
  <c r="D51" i="4"/>
  <c r="D36" i="4"/>
  <c r="D32" i="4"/>
  <c r="D27" i="4"/>
  <c r="D12" i="4"/>
  <c r="D32" i="3"/>
  <c r="D17" i="3"/>
  <c r="E27" i="10" l="1"/>
  <c r="E65" i="10" s="1"/>
  <c r="G14" i="11"/>
  <c r="P13" i="11"/>
  <c r="K13" i="11"/>
  <c r="G19" i="11"/>
  <c r="J18" i="11"/>
  <c r="O18" i="11"/>
  <c r="M13" i="11"/>
  <c r="J19" i="11"/>
  <c r="J14" i="11"/>
  <c r="M25" i="11"/>
  <c r="O19" i="11"/>
  <c r="K30" i="7"/>
  <c r="P25" i="7"/>
  <c r="G27" i="7"/>
  <c r="K14" i="7"/>
  <c r="F30" i="7"/>
  <c r="P17" i="7"/>
  <c r="J12" i="7"/>
  <c r="N98" i="11"/>
  <c r="F12" i="11"/>
  <c r="E12" i="11" s="1"/>
  <c r="H25" i="11"/>
  <c r="N105" i="11"/>
  <c r="H27" i="11"/>
  <c r="P31" i="7"/>
  <c r="F24" i="7"/>
  <c r="F19" i="7"/>
  <c r="H18" i="7"/>
  <c r="G18" i="7"/>
  <c r="H16" i="7"/>
  <c r="M13" i="7"/>
  <c r="G12" i="7"/>
  <c r="M30" i="7"/>
  <c r="G25" i="7"/>
  <c r="M16" i="7"/>
  <c r="M12" i="7"/>
  <c r="F32" i="11"/>
  <c r="K32" i="11"/>
  <c r="P32" i="11"/>
  <c r="O32" i="11"/>
  <c r="O29" i="11" s="1"/>
  <c r="G16" i="11"/>
  <c r="O13" i="11"/>
  <c r="M32" i="7"/>
  <c r="J30" i="7"/>
  <c r="O27" i="7"/>
  <c r="Q19" i="7"/>
  <c r="Q24" i="7"/>
  <c r="F32" i="7"/>
  <c r="P30" i="7"/>
  <c r="P29" i="7" s="1"/>
  <c r="L27" i="7"/>
  <c r="I27" i="7" s="1"/>
  <c r="L25" i="7"/>
  <c r="Q25" i="7"/>
  <c r="K18" i="7"/>
  <c r="I18" i="7" s="1"/>
  <c r="H17" i="7"/>
  <c r="M12" i="11"/>
  <c r="K17" i="11"/>
  <c r="P17" i="11"/>
  <c r="F14" i="11"/>
  <c r="E14" i="11" s="1"/>
  <c r="K14" i="11"/>
  <c r="P14" i="11"/>
  <c r="M28" i="7"/>
  <c r="M26" i="7" s="1"/>
  <c r="F27" i="7"/>
  <c r="O24" i="7"/>
  <c r="L24" i="7"/>
  <c r="I24" i="7" s="1"/>
  <c r="M17" i="7"/>
  <c r="J17" i="7"/>
  <c r="P16" i="7"/>
  <c r="Q21" i="7"/>
  <c r="Q20" i="7" s="1"/>
  <c r="H12" i="7"/>
  <c r="M14" i="7"/>
  <c r="L30" i="7"/>
  <c r="Q30" i="7"/>
  <c r="K28" i="7"/>
  <c r="K26" i="7" s="1"/>
  <c r="P28" i="7"/>
  <c r="P26" i="7" s="1"/>
  <c r="H25" i="7"/>
  <c r="M18" i="7"/>
  <c r="L17" i="7"/>
  <c r="G14" i="7"/>
  <c r="Q14" i="7"/>
  <c r="Q111" i="11"/>
  <c r="H18" i="11"/>
  <c r="J32" i="11"/>
  <c r="H72" i="11"/>
  <c r="H28" i="11"/>
  <c r="H26" i="11" s="1"/>
  <c r="M28" i="11"/>
  <c r="M26" i="11" s="1"/>
  <c r="M66" i="11"/>
  <c r="L19" i="11"/>
  <c r="Q19" i="11"/>
  <c r="F16" i="11"/>
  <c r="F15" i="11" s="1"/>
  <c r="K16" i="11"/>
  <c r="P16" i="11"/>
  <c r="O14" i="11"/>
  <c r="G13" i="11"/>
  <c r="L13" i="11"/>
  <c r="I13" i="11" s="1"/>
  <c r="Q13" i="11"/>
  <c r="H28" i="7"/>
  <c r="H26" i="7" s="1"/>
  <c r="L108" i="7"/>
  <c r="K19" i="7"/>
  <c r="O16" i="7"/>
  <c r="O14" i="7"/>
  <c r="L14" i="7"/>
  <c r="Q12" i="7"/>
  <c r="H32" i="7"/>
  <c r="F31" i="7"/>
  <c r="K31" i="7"/>
  <c r="H31" i="7"/>
  <c r="L21" i="7"/>
  <c r="L20" i="7" s="1"/>
  <c r="F14" i="7"/>
  <c r="N105" i="5"/>
  <c r="N101" i="5"/>
  <c r="K28" i="5"/>
  <c r="L31" i="7"/>
  <c r="N110" i="11"/>
  <c r="H19" i="11"/>
  <c r="G18" i="11"/>
  <c r="F13" i="11"/>
  <c r="G114" i="11"/>
  <c r="L114" i="11"/>
  <c r="M111" i="11"/>
  <c r="O108" i="11"/>
  <c r="N68" i="11"/>
  <c r="H31" i="11"/>
  <c r="K31" i="11"/>
  <c r="M69" i="11"/>
  <c r="O22" i="11"/>
  <c r="O20" i="11" s="1"/>
  <c r="M21" i="11"/>
  <c r="O32" i="7"/>
  <c r="N32" i="7" s="1"/>
  <c r="J32" i="7"/>
  <c r="G114" i="7"/>
  <c r="N102" i="7"/>
  <c r="J28" i="7"/>
  <c r="J26" i="7" s="1"/>
  <c r="O28" i="7"/>
  <c r="O101" i="7"/>
  <c r="K12" i="7"/>
  <c r="P12" i="7"/>
  <c r="L72" i="7"/>
  <c r="H69" i="7"/>
  <c r="G69" i="7"/>
  <c r="Q18" i="7"/>
  <c r="L32" i="7"/>
  <c r="G75" i="7"/>
  <c r="L75" i="7"/>
  <c r="O31" i="7"/>
  <c r="H30" i="7"/>
  <c r="G28" i="7"/>
  <c r="L28" i="7"/>
  <c r="L26" i="7" s="1"/>
  <c r="Q28" i="7"/>
  <c r="Q26" i="7" s="1"/>
  <c r="H72" i="7"/>
  <c r="M25" i="7"/>
  <c r="G24" i="7"/>
  <c r="E24" i="7" s="1"/>
  <c r="G19" i="7"/>
  <c r="L19" i="7"/>
  <c r="L13" i="7"/>
  <c r="L11" i="7" s="1"/>
  <c r="O12" i="7"/>
  <c r="H134" i="5"/>
  <c r="N116" i="5"/>
  <c r="P94" i="5"/>
  <c r="H94" i="5"/>
  <c r="O91" i="5"/>
  <c r="O13" i="5" s="1"/>
  <c r="M134" i="5"/>
  <c r="F134" i="5"/>
  <c r="P134" i="5"/>
  <c r="I112" i="11"/>
  <c r="K108" i="11"/>
  <c r="I104" i="11"/>
  <c r="N103" i="11"/>
  <c r="J97" i="11"/>
  <c r="H97" i="11"/>
  <c r="E116" i="11"/>
  <c r="J31" i="11"/>
  <c r="J29" i="11" s="1"/>
  <c r="H114" i="11"/>
  <c r="G30" i="11"/>
  <c r="G29" i="11" s="1"/>
  <c r="J111" i="11"/>
  <c r="P25" i="11"/>
  <c r="P23" i="11" s="1"/>
  <c r="P108" i="11"/>
  <c r="K25" i="11"/>
  <c r="K23" i="11" s="1"/>
  <c r="L108" i="11"/>
  <c r="G17" i="11"/>
  <c r="L17" i="11"/>
  <c r="L15" i="11" s="1"/>
  <c r="Q17" i="11"/>
  <c r="Q15" i="11" s="1"/>
  <c r="N78" i="11"/>
  <c r="M75" i="11"/>
  <c r="L72" i="11"/>
  <c r="L69" i="11"/>
  <c r="I71" i="11"/>
  <c r="P66" i="11"/>
  <c r="H66" i="11"/>
  <c r="G61" i="11"/>
  <c r="E60" i="11"/>
  <c r="P57" i="11"/>
  <c r="N59" i="11"/>
  <c r="M57" i="11"/>
  <c r="H57" i="11"/>
  <c r="F75" i="11"/>
  <c r="I74" i="11"/>
  <c r="F28" i="11"/>
  <c r="F26" i="11" s="1"/>
  <c r="K28" i="11"/>
  <c r="K26" i="11" s="1"/>
  <c r="P28" i="11"/>
  <c r="P26" i="11" s="1"/>
  <c r="J72" i="11"/>
  <c r="F72" i="11"/>
  <c r="K69" i="11"/>
  <c r="G69" i="11"/>
  <c r="M24" i="11"/>
  <c r="M23" i="11" s="1"/>
  <c r="I65" i="11"/>
  <c r="H17" i="11"/>
  <c r="J16" i="11"/>
  <c r="O16" i="11"/>
  <c r="N16" i="11" s="1"/>
  <c r="M14" i="11"/>
  <c r="P12" i="11"/>
  <c r="Q114" i="7"/>
  <c r="Q31" i="7"/>
  <c r="P111" i="7"/>
  <c r="J111" i="7"/>
  <c r="H111" i="7"/>
  <c r="M111" i="7"/>
  <c r="Q108" i="7"/>
  <c r="K21" i="7"/>
  <c r="K20" i="7" s="1"/>
  <c r="P19" i="7"/>
  <c r="Q16" i="7"/>
  <c r="K13" i="7"/>
  <c r="J31" i="7"/>
  <c r="J114" i="7"/>
  <c r="N112" i="7"/>
  <c r="E109" i="7"/>
  <c r="M108" i="7"/>
  <c r="M21" i="7"/>
  <c r="M20" i="7" s="1"/>
  <c r="H21" i="7"/>
  <c r="H20" i="7" s="1"/>
  <c r="H19" i="7"/>
  <c r="M19" i="7"/>
  <c r="H101" i="7"/>
  <c r="K101" i="7"/>
  <c r="G101" i="7"/>
  <c r="G13" i="7"/>
  <c r="Q13" i="7"/>
  <c r="G97" i="7"/>
  <c r="K75" i="7"/>
  <c r="O75" i="7"/>
  <c r="O30" i="7"/>
  <c r="D92" i="7"/>
  <c r="G72" i="7"/>
  <c r="E74" i="7"/>
  <c r="Q69" i="7"/>
  <c r="E71" i="7"/>
  <c r="J66" i="7"/>
  <c r="F57" i="7"/>
  <c r="I77" i="7"/>
  <c r="N77" i="7"/>
  <c r="P75" i="7"/>
  <c r="M72" i="7"/>
  <c r="K72" i="7"/>
  <c r="J25" i="7"/>
  <c r="J23" i="7" s="1"/>
  <c r="O25" i="7"/>
  <c r="N25" i="7" s="1"/>
  <c r="N71" i="7"/>
  <c r="K69" i="7"/>
  <c r="J21" i="7"/>
  <c r="Q17" i="7"/>
  <c r="G16" i="7"/>
  <c r="O57" i="7"/>
  <c r="H13" i="7"/>
  <c r="N52" i="7"/>
  <c r="N43" i="7"/>
  <c r="N135" i="5"/>
  <c r="N137" i="5"/>
  <c r="N136" i="5"/>
  <c r="N132" i="5"/>
  <c r="N131" i="5"/>
  <c r="I130" i="5"/>
  <c r="N123" i="5"/>
  <c r="L115" i="5"/>
  <c r="F115" i="5"/>
  <c r="H111" i="5"/>
  <c r="N108" i="5"/>
  <c r="O14" i="5"/>
  <c r="G115" i="5"/>
  <c r="H115" i="5"/>
  <c r="M115" i="5"/>
  <c r="K115" i="5"/>
  <c r="P115" i="5"/>
  <c r="J111" i="5"/>
  <c r="M99" i="5"/>
  <c r="K91" i="5"/>
  <c r="K13" i="5" s="1"/>
  <c r="G91" i="5"/>
  <c r="G13" i="5" s="1"/>
  <c r="D39" i="5"/>
  <c r="K12" i="5"/>
  <c r="G28" i="5"/>
  <c r="D133" i="11"/>
  <c r="P114" i="11"/>
  <c r="O114" i="11"/>
  <c r="D132" i="11"/>
  <c r="N115" i="11"/>
  <c r="K114" i="11"/>
  <c r="D131" i="11"/>
  <c r="D130" i="11"/>
  <c r="H111" i="11"/>
  <c r="D129" i="11"/>
  <c r="E112" i="11"/>
  <c r="Q108" i="11"/>
  <c r="I110" i="11"/>
  <c r="D128" i="11"/>
  <c r="H108" i="11"/>
  <c r="G108" i="11"/>
  <c r="N109" i="11"/>
  <c r="N108" i="11"/>
  <c r="D127" i="11"/>
  <c r="D126" i="11"/>
  <c r="P101" i="11"/>
  <c r="K101" i="11"/>
  <c r="D125" i="11"/>
  <c r="E105" i="11"/>
  <c r="D124" i="11"/>
  <c r="D123" i="11"/>
  <c r="D122" i="11"/>
  <c r="G101" i="11"/>
  <c r="P97" i="11"/>
  <c r="I100" i="11"/>
  <c r="D121" i="11"/>
  <c r="K97" i="11"/>
  <c r="D120" i="11"/>
  <c r="F97" i="11"/>
  <c r="Q97" i="11"/>
  <c r="D119" i="11"/>
  <c r="I116" i="11"/>
  <c r="F31" i="11"/>
  <c r="M114" i="11"/>
  <c r="Q114" i="11"/>
  <c r="F111" i="11"/>
  <c r="K111" i="11"/>
  <c r="G111" i="11"/>
  <c r="L111" i="11"/>
  <c r="M108" i="11"/>
  <c r="L21" i="11"/>
  <c r="L20" i="11" s="1"/>
  <c r="Q21" i="11"/>
  <c r="Q20" i="11" s="1"/>
  <c r="H21" i="11"/>
  <c r="H20" i="11" s="1"/>
  <c r="M101" i="11"/>
  <c r="M18" i="11"/>
  <c r="M17" i="11"/>
  <c r="H101" i="11"/>
  <c r="Q101" i="11"/>
  <c r="O101" i="11"/>
  <c r="D96" i="11"/>
  <c r="G97" i="11"/>
  <c r="L97" i="11"/>
  <c r="O12" i="11"/>
  <c r="J12" i="11"/>
  <c r="J11" i="11" s="1"/>
  <c r="O97" i="11"/>
  <c r="D95" i="11"/>
  <c r="E78" i="11"/>
  <c r="J75" i="11"/>
  <c r="N76" i="11"/>
  <c r="D93" i="11"/>
  <c r="I76" i="11"/>
  <c r="H75" i="11"/>
  <c r="P72" i="11"/>
  <c r="O26" i="11"/>
  <c r="K72" i="11"/>
  <c r="G72" i="11"/>
  <c r="M72" i="11"/>
  <c r="D91" i="11"/>
  <c r="Q69" i="11"/>
  <c r="J69" i="11"/>
  <c r="H69" i="11"/>
  <c r="G23" i="11"/>
  <c r="O69" i="11"/>
  <c r="D89" i="11"/>
  <c r="K66" i="11"/>
  <c r="D87" i="11"/>
  <c r="D85" i="11"/>
  <c r="I64" i="11"/>
  <c r="P61" i="11"/>
  <c r="E63" i="11"/>
  <c r="F61" i="11"/>
  <c r="D83" i="11"/>
  <c r="J57" i="11"/>
  <c r="Q57" i="11"/>
  <c r="L57" i="11"/>
  <c r="D81" i="11"/>
  <c r="G57" i="11"/>
  <c r="N58" i="11"/>
  <c r="L12" i="11"/>
  <c r="H32" i="11"/>
  <c r="Q75" i="11"/>
  <c r="K75" i="11"/>
  <c r="G75" i="11"/>
  <c r="L75" i="11"/>
  <c r="P75" i="11"/>
  <c r="Q72" i="11"/>
  <c r="G27" i="11"/>
  <c r="G26" i="11" s="1"/>
  <c r="L27" i="11"/>
  <c r="I27" i="11" s="1"/>
  <c r="O72" i="11"/>
  <c r="L24" i="11"/>
  <c r="L23" i="11" s="1"/>
  <c r="Q24" i="11"/>
  <c r="Q23" i="11" s="1"/>
  <c r="E70" i="11"/>
  <c r="H24" i="11"/>
  <c r="E24" i="11" s="1"/>
  <c r="I70" i="11"/>
  <c r="P69" i="11"/>
  <c r="Q66" i="11"/>
  <c r="I67" i="11"/>
  <c r="L66" i="11"/>
  <c r="D56" i="11"/>
  <c r="O61" i="11"/>
  <c r="I62" i="11"/>
  <c r="M61" i="11"/>
  <c r="Q61" i="11"/>
  <c r="H61" i="11"/>
  <c r="J61" i="11"/>
  <c r="L61" i="11"/>
  <c r="I58" i="11"/>
  <c r="F57" i="11"/>
  <c r="K57" i="11"/>
  <c r="I32" i="11"/>
  <c r="D55" i="11"/>
  <c r="Q29" i="11"/>
  <c r="P29" i="11"/>
  <c r="N31" i="11"/>
  <c r="M29" i="11"/>
  <c r="D54" i="11"/>
  <c r="L29" i="11"/>
  <c r="D53" i="11"/>
  <c r="Q26" i="11"/>
  <c r="D51" i="11"/>
  <c r="N49" i="11"/>
  <c r="J26" i="11"/>
  <c r="D50" i="11"/>
  <c r="E49" i="11"/>
  <c r="J23" i="11"/>
  <c r="D48" i="11"/>
  <c r="N24" i="11"/>
  <c r="I46" i="11"/>
  <c r="E46" i="11"/>
  <c r="F23" i="11"/>
  <c r="D47" i="11"/>
  <c r="P20" i="11"/>
  <c r="K20" i="11"/>
  <c r="D45" i="11"/>
  <c r="J20" i="11"/>
  <c r="E22" i="11"/>
  <c r="F20" i="11"/>
  <c r="M20" i="11"/>
  <c r="I43" i="11"/>
  <c r="D44" i="11"/>
  <c r="N19" i="11"/>
  <c r="P15" i="11"/>
  <c r="O33" i="11"/>
  <c r="D40" i="11"/>
  <c r="G15" i="11"/>
  <c r="Q33" i="11"/>
  <c r="P33" i="11"/>
  <c r="M33" i="11"/>
  <c r="L33" i="11"/>
  <c r="K33" i="11"/>
  <c r="J33" i="11"/>
  <c r="H33" i="11"/>
  <c r="G33" i="11"/>
  <c r="F33" i="11"/>
  <c r="D37" i="11"/>
  <c r="N13" i="11"/>
  <c r="K11" i="11"/>
  <c r="D36" i="11"/>
  <c r="E13" i="11"/>
  <c r="G11" i="11"/>
  <c r="Q11" i="11"/>
  <c r="D35" i="11"/>
  <c r="H11" i="11"/>
  <c r="L114" i="7"/>
  <c r="I117" i="7"/>
  <c r="D133" i="7"/>
  <c r="N116" i="7"/>
  <c r="M114" i="7"/>
  <c r="H114" i="7"/>
  <c r="E116" i="7"/>
  <c r="D132" i="7"/>
  <c r="N115" i="7"/>
  <c r="O114" i="7"/>
  <c r="I115" i="7"/>
  <c r="D131" i="7"/>
  <c r="N113" i="7"/>
  <c r="L111" i="7"/>
  <c r="K111" i="7"/>
  <c r="I113" i="7"/>
  <c r="G111" i="7"/>
  <c r="D130" i="7"/>
  <c r="F111" i="7"/>
  <c r="D129" i="7"/>
  <c r="H108" i="7"/>
  <c r="D128" i="7"/>
  <c r="N109" i="7"/>
  <c r="D127" i="7"/>
  <c r="N107" i="7"/>
  <c r="N106" i="7"/>
  <c r="D126" i="7"/>
  <c r="I105" i="7"/>
  <c r="E105" i="7"/>
  <c r="D125" i="7"/>
  <c r="I104" i="7"/>
  <c r="E104" i="7"/>
  <c r="D124" i="7"/>
  <c r="I103" i="7"/>
  <c r="J101" i="7"/>
  <c r="E103" i="7"/>
  <c r="D123" i="7"/>
  <c r="F101" i="7"/>
  <c r="D122" i="7"/>
  <c r="F16" i="7"/>
  <c r="F15" i="7" s="1"/>
  <c r="N100" i="7"/>
  <c r="E100" i="7"/>
  <c r="D121" i="7"/>
  <c r="Q97" i="7"/>
  <c r="L97" i="7"/>
  <c r="I99" i="7"/>
  <c r="D120" i="7"/>
  <c r="M97" i="7"/>
  <c r="I98" i="7"/>
  <c r="E98" i="7"/>
  <c r="D119" i="7"/>
  <c r="E117" i="7"/>
  <c r="F114" i="7"/>
  <c r="K114" i="7"/>
  <c r="I116" i="7"/>
  <c r="E113" i="7"/>
  <c r="F28" i="7"/>
  <c r="E28" i="7" s="1"/>
  <c r="Q111" i="7"/>
  <c r="I110" i="7"/>
  <c r="E110" i="7"/>
  <c r="O108" i="7"/>
  <c r="I109" i="7"/>
  <c r="P20" i="7"/>
  <c r="I106" i="7"/>
  <c r="F20" i="7"/>
  <c r="E106" i="7"/>
  <c r="I107" i="7"/>
  <c r="P101" i="7"/>
  <c r="N103" i="7"/>
  <c r="K17" i="7"/>
  <c r="D96" i="7"/>
  <c r="I102" i="7"/>
  <c r="M101" i="7"/>
  <c r="L101" i="7"/>
  <c r="L16" i="7"/>
  <c r="I16" i="7" s="1"/>
  <c r="Q101" i="7"/>
  <c r="J14" i="7"/>
  <c r="J11" i="7" s="1"/>
  <c r="H97" i="7"/>
  <c r="E99" i="7"/>
  <c r="J97" i="7"/>
  <c r="N98" i="7"/>
  <c r="O97" i="7"/>
  <c r="D95" i="7"/>
  <c r="E78" i="7"/>
  <c r="Q75" i="7"/>
  <c r="K29" i="7"/>
  <c r="D94" i="7"/>
  <c r="J75" i="7"/>
  <c r="H75" i="7"/>
  <c r="F75" i="7"/>
  <c r="M75" i="7"/>
  <c r="D93" i="7"/>
  <c r="Q72" i="7"/>
  <c r="N74" i="7"/>
  <c r="P72" i="7"/>
  <c r="O72" i="7"/>
  <c r="I74" i="7"/>
  <c r="J72" i="7"/>
  <c r="G26" i="7"/>
  <c r="F72" i="7"/>
  <c r="I73" i="7"/>
  <c r="D91" i="7"/>
  <c r="P69" i="7"/>
  <c r="O69" i="7"/>
  <c r="M69" i="7"/>
  <c r="D90" i="7"/>
  <c r="J69" i="7"/>
  <c r="L69" i="7"/>
  <c r="D89" i="7"/>
  <c r="Q66" i="7"/>
  <c r="P66" i="7"/>
  <c r="O66" i="7"/>
  <c r="L66" i="7"/>
  <c r="I68" i="7"/>
  <c r="D88" i="7"/>
  <c r="H66" i="7"/>
  <c r="G66" i="7"/>
  <c r="K66" i="7"/>
  <c r="D87" i="7"/>
  <c r="D86" i="7"/>
  <c r="N64" i="7"/>
  <c r="D85" i="7"/>
  <c r="E64" i="7"/>
  <c r="Q61" i="7"/>
  <c r="N63" i="7"/>
  <c r="D84" i="7"/>
  <c r="L61" i="7"/>
  <c r="D83" i="7"/>
  <c r="N60" i="7"/>
  <c r="D82" i="7"/>
  <c r="N59" i="7"/>
  <c r="D81" i="7"/>
  <c r="J57" i="7"/>
  <c r="H57" i="7"/>
  <c r="Q57" i="7"/>
  <c r="D80" i="7"/>
  <c r="G57" i="7"/>
  <c r="G29" i="7"/>
  <c r="I71" i="7"/>
  <c r="P24" i="7"/>
  <c r="N24" i="7" s="1"/>
  <c r="D56" i="7"/>
  <c r="F69" i="7"/>
  <c r="I70" i="7"/>
  <c r="G21" i="7"/>
  <c r="G20" i="7" s="1"/>
  <c r="E67" i="7"/>
  <c r="I67" i="7"/>
  <c r="O21" i="7"/>
  <c r="N21" i="7" s="1"/>
  <c r="E65" i="7"/>
  <c r="I65" i="7"/>
  <c r="E63" i="7"/>
  <c r="O17" i="7"/>
  <c r="N17" i="7" s="1"/>
  <c r="O61" i="7"/>
  <c r="M61" i="7"/>
  <c r="E60" i="7"/>
  <c r="L57" i="7"/>
  <c r="E59" i="7"/>
  <c r="K57" i="7"/>
  <c r="F12" i="7"/>
  <c r="M57" i="7"/>
  <c r="D55" i="7"/>
  <c r="D54" i="7"/>
  <c r="D53" i="7"/>
  <c r="D51" i="7"/>
  <c r="D50" i="7"/>
  <c r="E49" i="7"/>
  <c r="M23" i="7"/>
  <c r="K23" i="7"/>
  <c r="D48" i="7"/>
  <c r="H23" i="7"/>
  <c r="D47" i="7"/>
  <c r="I22" i="7"/>
  <c r="D45" i="7"/>
  <c r="I43" i="7"/>
  <c r="E43" i="7"/>
  <c r="D44" i="7"/>
  <c r="I19" i="7"/>
  <c r="D42" i="7"/>
  <c r="L33" i="7"/>
  <c r="D41" i="7"/>
  <c r="D40" i="7"/>
  <c r="H33" i="7"/>
  <c r="G33" i="7"/>
  <c r="P33" i="7"/>
  <c r="N38" i="7"/>
  <c r="M33" i="7"/>
  <c r="I38" i="7"/>
  <c r="K33" i="7"/>
  <c r="D39" i="7"/>
  <c r="J33" i="7"/>
  <c r="E38" i="7"/>
  <c r="D37" i="7"/>
  <c r="D36" i="7"/>
  <c r="Q33" i="7"/>
  <c r="N34" i="7"/>
  <c r="O33" i="7"/>
  <c r="I12" i="7"/>
  <c r="K11" i="7"/>
  <c r="E34" i="7"/>
  <c r="D35" i="7"/>
  <c r="F33" i="7"/>
  <c r="D186" i="5"/>
  <c r="N138" i="5"/>
  <c r="I137" i="5"/>
  <c r="K134" i="5"/>
  <c r="I136" i="5"/>
  <c r="I138" i="5"/>
  <c r="D185" i="5"/>
  <c r="E138" i="5"/>
  <c r="E139" i="5"/>
  <c r="D184" i="5"/>
  <c r="D183" i="5"/>
  <c r="E132" i="5"/>
  <c r="D182" i="5"/>
  <c r="E131" i="5"/>
  <c r="D181" i="5"/>
  <c r="D180" i="5"/>
  <c r="I128" i="5"/>
  <c r="D179" i="5"/>
  <c r="I127" i="5"/>
  <c r="D178" i="5"/>
  <c r="I126" i="5"/>
  <c r="D177" i="5"/>
  <c r="D176" i="5"/>
  <c r="N124" i="5"/>
  <c r="D175" i="5"/>
  <c r="I123" i="5"/>
  <c r="D174" i="5"/>
  <c r="E123" i="5"/>
  <c r="N122" i="5"/>
  <c r="D173" i="5"/>
  <c r="N121" i="5"/>
  <c r="D172" i="5"/>
  <c r="E121" i="5"/>
  <c r="Q118" i="5"/>
  <c r="N120" i="5"/>
  <c r="D171" i="5"/>
  <c r="K118" i="5"/>
  <c r="D170" i="5"/>
  <c r="E119" i="5"/>
  <c r="I117" i="5"/>
  <c r="J115" i="5"/>
  <c r="D168" i="5"/>
  <c r="Q115" i="5"/>
  <c r="D167" i="5"/>
  <c r="N114" i="5"/>
  <c r="D165" i="5"/>
  <c r="Q111" i="5"/>
  <c r="N113" i="5"/>
  <c r="M111" i="5"/>
  <c r="D164" i="5"/>
  <c r="G111" i="5"/>
  <c r="N112" i="5"/>
  <c r="O111" i="5"/>
  <c r="D163" i="5"/>
  <c r="N110" i="5"/>
  <c r="J106" i="5"/>
  <c r="D161" i="5"/>
  <c r="N109" i="5"/>
  <c r="D160" i="5"/>
  <c r="Q106" i="5"/>
  <c r="P106" i="5"/>
  <c r="O106" i="5"/>
  <c r="L106" i="5"/>
  <c r="D159" i="5"/>
  <c r="H106" i="5"/>
  <c r="D158" i="5"/>
  <c r="E107" i="5"/>
  <c r="D156" i="5"/>
  <c r="N104" i="5"/>
  <c r="D155" i="5"/>
  <c r="H99" i="5"/>
  <c r="I103" i="5"/>
  <c r="J99" i="5"/>
  <c r="D154" i="5"/>
  <c r="I102" i="5"/>
  <c r="D153" i="5"/>
  <c r="G99" i="5"/>
  <c r="Q99" i="5"/>
  <c r="P99" i="5"/>
  <c r="O99" i="5"/>
  <c r="L99" i="5"/>
  <c r="I101" i="5"/>
  <c r="D152" i="5"/>
  <c r="E101" i="5"/>
  <c r="D151" i="5"/>
  <c r="N97" i="5"/>
  <c r="D149" i="5"/>
  <c r="E97" i="5"/>
  <c r="N96" i="5"/>
  <c r="M94" i="5"/>
  <c r="L94" i="5"/>
  <c r="D147" i="5"/>
  <c r="D146" i="5"/>
  <c r="Q91" i="5"/>
  <c r="Q13" i="5" s="1"/>
  <c r="M91" i="5"/>
  <c r="M13" i="5" s="1"/>
  <c r="L91" i="5"/>
  <c r="L13" i="5" s="1"/>
  <c r="J91" i="5"/>
  <c r="J13" i="5" s="1"/>
  <c r="D144" i="5"/>
  <c r="P91" i="5"/>
  <c r="P13" i="5" s="1"/>
  <c r="D143" i="5"/>
  <c r="E92" i="5"/>
  <c r="E14" i="5" s="1"/>
  <c r="E140" i="5"/>
  <c r="L134" i="5"/>
  <c r="I139" i="5"/>
  <c r="I135" i="5"/>
  <c r="G134" i="5"/>
  <c r="Q134" i="5"/>
  <c r="E133" i="5"/>
  <c r="I132" i="5"/>
  <c r="E130" i="5"/>
  <c r="N129" i="5"/>
  <c r="E128" i="5"/>
  <c r="I125" i="5"/>
  <c r="J118" i="5"/>
  <c r="H118" i="5"/>
  <c r="I122" i="5"/>
  <c r="I121" i="5"/>
  <c r="L118" i="5"/>
  <c r="P118" i="5"/>
  <c r="F118" i="5"/>
  <c r="G118" i="5"/>
  <c r="O118" i="5"/>
  <c r="M118" i="5"/>
  <c r="O115" i="5"/>
  <c r="I116" i="5"/>
  <c r="E114" i="5"/>
  <c r="F111" i="5"/>
  <c r="D90" i="5"/>
  <c r="L111" i="5"/>
  <c r="I112" i="5"/>
  <c r="I110" i="5"/>
  <c r="I109" i="5"/>
  <c r="F106" i="5"/>
  <c r="I108" i="5"/>
  <c r="G106" i="5"/>
  <c r="M106" i="5"/>
  <c r="F99" i="5"/>
  <c r="K99" i="5"/>
  <c r="I98" i="5"/>
  <c r="E96" i="5"/>
  <c r="F94" i="5"/>
  <c r="I96" i="5"/>
  <c r="Q94" i="5"/>
  <c r="I93" i="5"/>
  <c r="H91" i="5"/>
  <c r="D89" i="5"/>
  <c r="D88" i="5"/>
  <c r="D87" i="5"/>
  <c r="D86" i="5"/>
  <c r="D85" i="5"/>
  <c r="D84" i="5"/>
  <c r="I82" i="5"/>
  <c r="D83" i="5"/>
  <c r="D81" i="5"/>
  <c r="D80" i="5"/>
  <c r="D79" i="5"/>
  <c r="D78" i="5"/>
  <c r="D77" i="5"/>
  <c r="D76" i="5"/>
  <c r="D75" i="5"/>
  <c r="D74" i="5"/>
  <c r="D73" i="5"/>
  <c r="D72" i="5"/>
  <c r="D71" i="5"/>
  <c r="D70" i="5"/>
  <c r="D69" i="5"/>
  <c r="D68" i="5"/>
  <c r="D67" i="5"/>
  <c r="D65" i="5"/>
  <c r="D62" i="5"/>
  <c r="D61" i="5"/>
  <c r="D60" i="5"/>
  <c r="D59" i="5"/>
  <c r="D58" i="5"/>
  <c r="E57" i="5"/>
  <c r="D56" i="5"/>
  <c r="N52" i="5"/>
  <c r="D55" i="5"/>
  <c r="D54" i="5"/>
  <c r="D53" i="5"/>
  <c r="D21" i="5" s="1"/>
  <c r="D49" i="5"/>
  <c r="D18" i="5" s="1"/>
  <c r="D48" i="5"/>
  <c r="D47" i="5"/>
  <c r="D19" i="5" s="1"/>
  <c r="D46" i="5"/>
  <c r="D17" i="5" s="1"/>
  <c r="N43" i="5"/>
  <c r="D44" i="5"/>
  <c r="D42" i="5"/>
  <c r="M29" i="5"/>
  <c r="M25" i="5" s="1"/>
  <c r="I37" i="5"/>
  <c r="I15" i="5" s="1"/>
  <c r="D38" i="5"/>
  <c r="E37" i="5"/>
  <c r="E15" i="5" s="1"/>
  <c r="Q29" i="5"/>
  <c r="Q25" i="5" s="1"/>
  <c r="P29" i="5"/>
  <c r="P25" i="5" s="1"/>
  <c r="O29" i="5"/>
  <c r="O25" i="5" s="1"/>
  <c r="H29" i="5"/>
  <c r="H25" i="5" s="1"/>
  <c r="Q28" i="5"/>
  <c r="O12" i="5"/>
  <c r="H12" i="5"/>
  <c r="F29" i="5"/>
  <c r="F25" i="5" s="1"/>
  <c r="Q12" i="5"/>
  <c r="M12" i="5"/>
  <c r="K29" i="5"/>
  <c r="K25" i="5" s="1"/>
  <c r="H28" i="5"/>
  <c r="G29" i="5"/>
  <c r="G25" i="5" s="1"/>
  <c r="F28" i="5"/>
  <c r="D30" i="5"/>
  <c r="D11" i="5" s="1"/>
  <c r="D31" i="4"/>
  <c r="E43" i="8"/>
  <c r="F12" i="9"/>
  <c r="F11" i="9" s="1"/>
  <c r="E12" i="9"/>
  <c r="E11" i="9" s="1"/>
  <c r="E13" i="9"/>
  <c r="E41" i="9" s="1"/>
  <c r="E32" i="8"/>
  <c r="E28" i="8"/>
  <c r="E10" i="8"/>
  <c r="N31" i="5"/>
  <c r="N12" i="5" s="1"/>
  <c r="D36" i="5"/>
  <c r="D41" i="5"/>
  <c r="D64" i="5"/>
  <c r="P12" i="5"/>
  <c r="P28" i="5"/>
  <c r="D35" i="5"/>
  <c r="D14" i="5" s="1"/>
  <c r="E34" i="5"/>
  <c r="I40" i="5"/>
  <c r="I43" i="5"/>
  <c r="D50" i="5"/>
  <c r="I63" i="5"/>
  <c r="E93" i="5"/>
  <c r="F91" i="5"/>
  <c r="L29" i="5"/>
  <c r="L25" i="5" s="1"/>
  <c r="L28" i="5"/>
  <c r="N92" i="5"/>
  <c r="N14" i="5" s="1"/>
  <c r="O28" i="5"/>
  <c r="I95" i="5"/>
  <c r="J94" i="5"/>
  <c r="F15" i="5"/>
  <c r="M28" i="5"/>
  <c r="J28" i="5"/>
  <c r="I31" i="5"/>
  <c r="J29" i="5"/>
  <c r="J25" i="5" s="1"/>
  <c r="E45" i="5"/>
  <c r="D51" i="5"/>
  <c r="I92" i="5"/>
  <c r="I14" i="5" s="1"/>
  <c r="O94" i="5"/>
  <c r="K106" i="5"/>
  <c r="K111" i="5"/>
  <c r="P111" i="5"/>
  <c r="I119" i="5"/>
  <c r="N125" i="5"/>
  <c r="J134" i="5"/>
  <c r="O134" i="5"/>
  <c r="O13" i="7"/>
  <c r="P14" i="7"/>
  <c r="J15" i="7"/>
  <c r="G17" i="7"/>
  <c r="E17" i="7" s="1"/>
  <c r="F23" i="7"/>
  <c r="N46" i="7"/>
  <c r="E58" i="7"/>
  <c r="I58" i="7"/>
  <c r="I60" i="7"/>
  <c r="E62" i="7"/>
  <c r="H61" i="7"/>
  <c r="I63" i="7"/>
  <c r="K61" i="7"/>
  <c r="G94" i="5"/>
  <c r="K94" i="5"/>
  <c r="N119" i="5"/>
  <c r="I62" i="7"/>
  <c r="M66" i="7"/>
  <c r="G61" i="7"/>
  <c r="F61" i="7"/>
  <c r="N62" i="7"/>
  <c r="P61" i="7"/>
  <c r="J61" i="7"/>
  <c r="I64" i="7"/>
  <c r="E76" i="7"/>
  <c r="I76" i="7"/>
  <c r="F97" i="7"/>
  <c r="K97" i="7"/>
  <c r="P97" i="7"/>
  <c r="N99" i="7"/>
  <c r="I100" i="7"/>
  <c r="E102" i="7"/>
  <c r="P108" i="7"/>
  <c r="N110" i="7"/>
  <c r="I112" i="7"/>
  <c r="P114" i="7"/>
  <c r="N18" i="11"/>
  <c r="N34" i="11"/>
  <c r="D41" i="11"/>
  <c r="I49" i="11"/>
  <c r="I59" i="11"/>
  <c r="N63" i="11"/>
  <c r="I77" i="11"/>
  <c r="D80" i="11"/>
  <c r="D84" i="11"/>
  <c r="D88" i="11"/>
  <c r="D92" i="11"/>
  <c r="E98" i="11"/>
  <c r="F101" i="11"/>
  <c r="E101" i="11" s="1"/>
  <c r="I109" i="11"/>
  <c r="J108" i="11"/>
  <c r="I108" i="11" s="1"/>
  <c r="N113" i="11"/>
  <c r="P111" i="11"/>
  <c r="J114" i="11"/>
  <c r="I115" i="11"/>
  <c r="I28" i="13"/>
  <c r="K26" i="13"/>
  <c r="N67" i="11"/>
  <c r="O66" i="11"/>
  <c r="I75" i="11"/>
  <c r="I103" i="11"/>
  <c r="J101" i="11"/>
  <c r="N112" i="11"/>
  <c r="O111" i="11"/>
  <c r="F108" i="7"/>
  <c r="J108" i="7"/>
  <c r="O111" i="7"/>
  <c r="E52" i="8"/>
  <c r="G20" i="11"/>
  <c r="O23" i="11"/>
  <c r="D39" i="11"/>
  <c r="E58" i="11"/>
  <c r="K61" i="11"/>
  <c r="E62" i="11"/>
  <c r="E67" i="11"/>
  <c r="I78" i="11"/>
  <c r="D82" i="11"/>
  <c r="D86" i="11"/>
  <c r="D90" i="11"/>
  <c r="D94" i="11"/>
  <c r="M97" i="11"/>
  <c r="I99" i="11"/>
  <c r="P106" i="11"/>
  <c r="N106" i="11" s="1"/>
  <c r="N107" i="11"/>
  <c r="E20" i="13"/>
  <c r="G108" i="7"/>
  <c r="K108" i="7"/>
  <c r="D42" i="11"/>
  <c r="G66" i="11"/>
  <c r="F69" i="11"/>
  <c r="J29" i="13"/>
  <c r="I31" i="13"/>
  <c r="F33" i="13"/>
  <c r="E43" i="13"/>
  <c r="N46" i="13"/>
  <c r="D46" i="13" s="1"/>
  <c r="P33" i="13"/>
  <c r="I79" i="13"/>
  <c r="J66" i="11"/>
  <c r="E73" i="11"/>
  <c r="I73" i="11"/>
  <c r="E77" i="11"/>
  <c r="F108" i="11"/>
  <c r="E108" i="11" s="1"/>
  <c r="F114" i="11"/>
  <c r="G15" i="13"/>
  <c r="G10" i="13" s="1"/>
  <c r="D21" i="13"/>
  <c r="E22" i="13"/>
  <c r="I27" i="13"/>
  <c r="J26" i="13"/>
  <c r="I26" i="13" s="1"/>
  <c r="D26" i="13" s="1"/>
  <c r="E31" i="13"/>
  <c r="F29" i="13"/>
  <c r="D34" i="13"/>
  <c r="D35" i="13"/>
  <c r="E49" i="13"/>
  <c r="G33" i="13"/>
  <c r="D62" i="13"/>
  <c r="O56" i="13"/>
  <c r="N66" i="13"/>
  <c r="J79" i="13"/>
  <c r="K79" i="13"/>
  <c r="F79" i="13"/>
  <c r="E94" i="13"/>
  <c r="D94" i="13" s="1"/>
  <c r="F66" i="11"/>
  <c r="O75" i="11"/>
  <c r="L101" i="11"/>
  <c r="I105" i="11"/>
  <c r="O11" i="13"/>
  <c r="M10" i="13"/>
  <c r="F11" i="13"/>
  <c r="E13" i="13"/>
  <c r="E26" i="13"/>
  <c r="G29" i="13"/>
  <c r="E29" i="13" s="1"/>
  <c r="O29" i="13"/>
  <c r="N30" i="13"/>
  <c r="E38" i="13"/>
  <c r="I38" i="13"/>
  <c r="I33" i="13" s="1"/>
  <c r="K33" i="13"/>
  <c r="H56" i="13"/>
  <c r="D58" i="13"/>
  <c r="I61" i="13"/>
  <c r="I56" i="13" s="1"/>
  <c r="D65" i="13"/>
  <c r="I66" i="13"/>
  <c r="D66" i="13" s="1"/>
  <c r="K56" i="13"/>
  <c r="E75" i="13"/>
  <c r="D75" i="13" s="1"/>
  <c r="G79" i="13"/>
  <c r="L79" i="13"/>
  <c r="I84" i="13"/>
  <c r="D86" i="13"/>
  <c r="I89" i="13"/>
  <c r="E97" i="13"/>
  <c r="D97" i="13" s="1"/>
  <c r="E106" i="11"/>
  <c r="Q10" i="13"/>
  <c r="L10" i="13"/>
  <c r="J23" i="13"/>
  <c r="I23" i="13" s="1"/>
  <c r="I25" i="13"/>
  <c r="I30" i="13"/>
  <c r="D30" i="13" s="1"/>
  <c r="K29" i="13"/>
  <c r="D32" i="13"/>
  <c r="O79" i="13"/>
  <c r="E84" i="13"/>
  <c r="D84" i="13" s="1"/>
  <c r="H79" i="13"/>
  <c r="D85" i="13"/>
  <c r="E89" i="13"/>
  <c r="D92" i="13"/>
  <c r="F56" i="13"/>
  <c r="D49" i="13"/>
  <c r="D43" i="13"/>
  <c r="E43" i="5"/>
  <c r="I45" i="5"/>
  <c r="I57" i="5"/>
  <c r="N57" i="5"/>
  <c r="I97" i="5"/>
  <c r="N98" i="5"/>
  <c r="N102" i="5"/>
  <c r="I114" i="5"/>
  <c r="E136" i="5"/>
  <c r="I34" i="7"/>
  <c r="I59" i="7"/>
  <c r="N25" i="11"/>
  <c r="I52" i="11"/>
  <c r="E65" i="11"/>
  <c r="N100" i="11"/>
  <c r="I107" i="11"/>
  <c r="I113" i="11"/>
  <c r="E115" i="11"/>
  <c r="E12" i="13"/>
  <c r="D12" i="13" s="1"/>
  <c r="N61" i="13"/>
  <c r="I34" i="5"/>
  <c r="E126" i="5"/>
  <c r="N139" i="5"/>
  <c r="N140" i="5"/>
  <c r="I49" i="7"/>
  <c r="N65" i="7"/>
  <c r="N76" i="7"/>
  <c r="N104" i="7"/>
  <c r="E107" i="7"/>
  <c r="I60" i="11"/>
  <c r="N64" i="11"/>
  <c r="N13" i="13"/>
  <c r="D13" i="13" s="1"/>
  <c r="I19" i="13"/>
  <c r="N22" i="13"/>
  <c r="D22" i="13"/>
  <c r="N24" i="13"/>
  <c r="E25" i="13"/>
  <c r="E72" i="13"/>
  <c r="E56" i="13"/>
  <c r="N70" i="7"/>
  <c r="N73" i="7"/>
  <c r="E25" i="11"/>
  <c r="E38" i="11"/>
  <c r="E43" i="11"/>
  <c r="N43" i="11"/>
  <c r="E68" i="11"/>
  <c r="E71" i="11"/>
  <c r="I98" i="11"/>
  <c r="N14" i="13"/>
  <c r="I15" i="13"/>
  <c r="E24" i="13"/>
  <c r="D24" i="13" s="1"/>
  <c r="N31" i="13"/>
  <c r="D31" i="13"/>
  <c r="N57" i="13"/>
  <c r="D57" i="13"/>
  <c r="N103" i="5"/>
  <c r="I104" i="5"/>
  <c r="I129" i="5"/>
  <c r="E135" i="5"/>
  <c r="N18" i="7"/>
  <c r="E68" i="7"/>
  <c r="E70" i="7"/>
  <c r="N117" i="7"/>
  <c r="N32" i="11"/>
  <c r="N74" i="11"/>
  <c r="N77" i="11"/>
  <c r="N16" i="13"/>
  <c r="I17" i="13"/>
  <c r="D17" i="13"/>
  <c r="N18" i="13"/>
  <c r="N52" i="13"/>
  <c r="D52" i="13" s="1"/>
  <c r="E52" i="5"/>
  <c r="E82" i="5"/>
  <c r="N82" i="5"/>
  <c r="E95" i="5"/>
  <c r="I100" i="5"/>
  <c r="I107" i="5"/>
  <c r="N127" i="5"/>
  <c r="E25" i="7"/>
  <c r="E73" i="7"/>
  <c r="E77" i="7"/>
  <c r="N78" i="7"/>
  <c r="N105" i="7"/>
  <c r="N14" i="11"/>
  <c r="E19" i="11"/>
  <c r="N52" i="11"/>
  <c r="E64" i="11"/>
  <c r="N73" i="11"/>
  <c r="N102" i="11"/>
  <c r="E109" i="11"/>
  <c r="I75" i="13"/>
  <c r="N95" i="5"/>
  <c r="I105" i="5"/>
  <c r="N107" i="5"/>
  <c r="E124" i="5"/>
  <c r="N128" i="5"/>
  <c r="I131" i="5"/>
  <c r="I14" i="11"/>
  <c r="E18" i="11"/>
  <c r="I30" i="11"/>
  <c r="N60" i="11"/>
  <c r="I68" i="11"/>
  <c r="E74" i="11"/>
  <c r="N99" i="11"/>
  <c r="E23" i="13"/>
  <c r="D23" i="13" s="1"/>
  <c r="N27" i="13"/>
  <c r="D27" i="13" s="1"/>
  <c r="I29" i="13"/>
  <c r="N29" i="13"/>
  <c r="E66" i="5"/>
  <c r="N93" i="5"/>
  <c r="N100" i="5"/>
  <c r="E108" i="5"/>
  <c r="E109" i="5"/>
  <c r="E112" i="5"/>
  <c r="I113" i="5"/>
  <c r="I124" i="5"/>
  <c r="E127" i="5"/>
  <c r="N58" i="7"/>
  <c r="E16" i="11"/>
  <c r="E17" i="11"/>
  <c r="N117" i="11"/>
  <c r="E14" i="13"/>
  <c r="D14" i="13"/>
  <c r="I69" i="13"/>
  <c r="N72" i="13"/>
  <c r="E80" i="13"/>
  <c r="E79" i="13" s="1"/>
  <c r="D79" i="13" s="1"/>
  <c r="N37" i="5"/>
  <c r="N15" i="5" s="1"/>
  <c r="I66" i="5"/>
  <c r="I120" i="5"/>
  <c r="E122" i="5"/>
  <c r="N126" i="5"/>
  <c r="N27" i="7"/>
  <c r="I52" i="7"/>
  <c r="I22" i="11"/>
  <c r="I38" i="11"/>
  <c r="I63" i="11"/>
  <c r="N65" i="11"/>
  <c r="N71" i="11"/>
  <c r="E102" i="11"/>
  <c r="E117" i="11"/>
  <c r="I117" i="11"/>
  <c r="N20" i="13"/>
  <c r="N25" i="13"/>
  <c r="N26" i="13"/>
  <c r="N10" i="13" s="1"/>
  <c r="E28" i="13"/>
  <c r="D28" i="13" s="1"/>
  <c r="N34" i="5"/>
  <c r="N45" i="5"/>
  <c r="I52" i="5"/>
  <c r="E63" i="5"/>
  <c r="N66" i="5"/>
  <c r="E117" i="5"/>
  <c r="N117" i="5"/>
  <c r="E125" i="5"/>
  <c r="I133" i="5"/>
  <c r="I140" i="5"/>
  <c r="N16" i="7"/>
  <c r="E22" i="7"/>
  <c r="N22" i="7"/>
  <c r="I46" i="7"/>
  <c r="E52" i="7"/>
  <c r="I78" i="7"/>
  <c r="E112" i="7"/>
  <c r="N27" i="11"/>
  <c r="I28" i="11"/>
  <c r="E34" i="11"/>
  <c r="N38" i="11"/>
  <c r="N46" i="11"/>
  <c r="N62" i="11"/>
  <c r="I102" i="11"/>
  <c r="E107" i="11"/>
  <c r="E110" i="11"/>
  <c r="E113" i="11"/>
  <c r="E11" i="13"/>
  <c r="I18" i="13"/>
  <c r="D18" i="13"/>
  <c r="E19" i="13"/>
  <c r="E110" i="5"/>
  <c r="E113" i="5"/>
  <c r="E120" i="5"/>
  <c r="N130" i="5"/>
  <c r="E115" i="7"/>
  <c r="N17" i="11"/>
  <c r="N30" i="11"/>
  <c r="I34" i="11"/>
  <c r="E59" i="11"/>
  <c r="E76" i="11"/>
  <c r="E99" i="11"/>
  <c r="E103" i="11"/>
  <c r="E40" i="5"/>
  <c r="N40" i="5"/>
  <c r="E116" i="5"/>
  <c r="N133" i="5"/>
  <c r="I16" i="11"/>
  <c r="I18" i="11"/>
  <c r="N21" i="11"/>
  <c r="E30" i="11"/>
  <c r="N70" i="11"/>
  <c r="N116" i="11"/>
  <c r="N11" i="13"/>
  <c r="N19" i="13"/>
  <c r="N63" i="5"/>
  <c r="E129" i="5"/>
  <c r="E137" i="5"/>
  <c r="E46" i="7"/>
  <c r="N49" i="7"/>
  <c r="N33" i="7" s="1"/>
  <c r="N67" i="7"/>
  <c r="N68" i="7"/>
  <c r="I25" i="11"/>
  <c r="E52" i="11"/>
  <c r="E100" i="11"/>
  <c r="E104" i="11"/>
  <c r="N104" i="11"/>
  <c r="E16" i="13"/>
  <c r="D16" i="13"/>
  <c r="N75" i="13"/>
  <c r="P57" i="7"/>
  <c r="E29" i="9"/>
  <c r="E25" i="10"/>
  <c r="E63" i="10" s="1"/>
  <c r="O57" i="11"/>
  <c r="J20" i="13"/>
  <c r="I20" i="13" s="1"/>
  <c r="D20" i="13" s="1"/>
  <c r="E49" i="10"/>
  <c r="E50" i="10" s="1"/>
  <c r="E70" i="10" s="1"/>
  <c r="E61" i="10"/>
  <c r="E73" i="10" s="1"/>
  <c r="D61" i="13"/>
  <c r="E71" i="10"/>
  <c r="I106" i="11"/>
  <c r="E33" i="13"/>
  <c r="K11" i="13"/>
  <c r="K10" i="13" s="1"/>
  <c r="F66" i="7"/>
  <c r="I19" i="11" l="1"/>
  <c r="J15" i="11"/>
  <c r="E75" i="11"/>
  <c r="N22" i="11"/>
  <c r="I31" i="7"/>
  <c r="E18" i="7"/>
  <c r="E27" i="7"/>
  <c r="D27" i="7" s="1"/>
  <c r="M29" i="7"/>
  <c r="N75" i="7"/>
  <c r="E30" i="7"/>
  <c r="N31" i="7"/>
  <c r="F29" i="11"/>
  <c r="E32" i="11"/>
  <c r="D32" i="11" s="1"/>
  <c r="E69" i="11"/>
  <c r="I61" i="11"/>
  <c r="D19" i="11"/>
  <c r="K15" i="11"/>
  <c r="M11" i="11"/>
  <c r="N30" i="7"/>
  <c r="N28" i="7"/>
  <c r="O26" i="7"/>
  <c r="M11" i="7"/>
  <c r="I25" i="7"/>
  <c r="E31" i="7"/>
  <c r="Q23" i="7"/>
  <c r="E13" i="7"/>
  <c r="K29" i="11"/>
  <c r="I29" i="11" s="1"/>
  <c r="I97" i="11"/>
  <c r="N61" i="11"/>
  <c r="F11" i="11"/>
  <c r="E11" i="11" s="1"/>
  <c r="P11" i="11"/>
  <c r="O11" i="11"/>
  <c r="F29" i="7"/>
  <c r="I30" i="7"/>
  <c r="E32" i="7"/>
  <c r="O23" i="7"/>
  <c r="L23" i="7"/>
  <c r="I23" i="7" s="1"/>
  <c r="I72" i="7"/>
  <c r="H15" i="7"/>
  <c r="P15" i="7"/>
  <c r="F11" i="7"/>
  <c r="N14" i="7"/>
  <c r="N94" i="5"/>
  <c r="I17" i="11"/>
  <c r="I32" i="7"/>
  <c r="I21" i="7"/>
  <c r="E19" i="7"/>
  <c r="I17" i="7"/>
  <c r="D17" i="7" s="1"/>
  <c r="J20" i="7"/>
  <c r="I20" i="7" s="1"/>
  <c r="N101" i="7"/>
  <c r="H11" i="7"/>
  <c r="Q29" i="7"/>
  <c r="M15" i="7"/>
  <c r="Q11" i="7"/>
  <c r="G11" i="7"/>
  <c r="E57" i="7"/>
  <c r="I75" i="7"/>
  <c r="L29" i="7"/>
  <c r="E69" i="7"/>
  <c r="N19" i="7"/>
  <c r="N61" i="7"/>
  <c r="E14" i="7"/>
  <c r="I57" i="7"/>
  <c r="I13" i="7"/>
  <c r="D34" i="7"/>
  <c r="D43" i="5"/>
  <c r="N114" i="11"/>
  <c r="H15" i="11"/>
  <c r="E15" i="11" s="1"/>
  <c r="O15" i="11"/>
  <c r="N15" i="11" s="1"/>
  <c r="H29" i="7"/>
  <c r="I28" i="7"/>
  <c r="E111" i="7"/>
  <c r="O11" i="7"/>
  <c r="Q15" i="7"/>
  <c r="N115" i="5"/>
  <c r="N134" i="5"/>
  <c r="E31" i="11"/>
  <c r="I114" i="11"/>
  <c r="I31" i="11"/>
  <c r="J29" i="7"/>
  <c r="N114" i="7"/>
  <c r="N29" i="11"/>
  <c r="N101" i="11"/>
  <c r="E97" i="11"/>
  <c r="H29" i="11"/>
  <c r="I72" i="11"/>
  <c r="E28" i="11"/>
  <c r="I69" i="11"/>
  <c r="O56" i="11"/>
  <c r="N66" i="11"/>
  <c r="I21" i="11"/>
  <c r="E57" i="11"/>
  <c r="E21" i="11"/>
  <c r="O29" i="7"/>
  <c r="N29" i="7" s="1"/>
  <c r="N12" i="7"/>
  <c r="N111" i="7"/>
  <c r="G23" i="7"/>
  <c r="E23" i="7" s="1"/>
  <c r="I14" i="7"/>
  <c r="D14" i="7" s="1"/>
  <c r="I97" i="7"/>
  <c r="G56" i="7"/>
  <c r="E72" i="7"/>
  <c r="L15" i="7"/>
  <c r="E75" i="7"/>
  <c r="K56" i="7"/>
  <c r="I69" i="7"/>
  <c r="J56" i="7"/>
  <c r="E115" i="5"/>
  <c r="E134" i="5"/>
  <c r="E111" i="5"/>
  <c r="N111" i="5"/>
  <c r="I24" i="11"/>
  <c r="D24" i="11" s="1"/>
  <c r="N97" i="11"/>
  <c r="E114" i="11"/>
  <c r="E111" i="11"/>
  <c r="H96" i="11"/>
  <c r="H134" i="11" s="1"/>
  <c r="K96" i="11"/>
  <c r="K134" i="11" s="1"/>
  <c r="N12" i="11"/>
  <c r="N26" i="11"/>
  <c r="M56" i="11"/>
  <c r="N69" i="11"/>
  <c r="I57" i="11"/>
  <c r="Q56" i="11"/>
  <c r="L56" i="11"/>
  <c r="N72" i="11"/>
  <c r="N28" i="11"/>
  <c r="E72" i="11"/>
  <c r="G56" i="11"/>
  <c r="N23" i="11"/>
  <c r="E20" i="11"/>
  <c r="E61" i="11"/>
  <c r="D49" i="11"/>
  <c r="D46" i="11"/>
  <c r="I20" i="11"/>
  <c r="E114" i="7"/>
  <c r="E16" i="7"/>
  <c r="D16" i="7" s="1"/>
  <c r="N97" i="7"/>
  <c r="I114" i="7"/>
  <c r="H96" i="7"/>
  <c r="H134" i="7" s="1"/>
  <c r="H238" i="5" s="1"/>
  <c r="H200" i="5" s="1"/>
  <c r="I111" i="7"/>
  <c r="N108" i="7"/>
  <c r="E21" i="7"/>
  <c r="G96" i="7"/>
  <c r="G134" i="7" s="1"/>
  <c r="G238" i="5" s="1"/>
  <c r="G200" i="5" s="1"/>
  <c r="E101" i="7"/>
  <c r="G15" i="7"/>
  <c r="N69" i="7"/>
  <c r="N66" i="7"/>
  <c r="I66" i="7"/>
  <c r="N13" i="7"/>
  <c r="M56" i="7"/>
  <c r="L56" i="7"/>
  <c r="F56" i="7"/>
  <c r="Q56" i="7"/>
  <c r="E12" i="7"/>
  <c r="H56" i="7"/>
  <c r="I26" i="7"/>
  <c r="P23" i="7"/>
  <c r="I11" i="7"/>
  <c r="I115" i="5"/>
  <c r="I111" i="5"/>
  <c r="N106" i="5"/>
  <c r="E106" i="5"/>
  <c r="N99" i="5"/>
  <c r="E94" i="5"/>
  <c r="I134" i="5"/>
  <c r="I106" i="5"/>
  <c r="E37" i="9"/>
  <c r="E36" i="9" s="1"/>
  <c r="E99" i="5"/>
  <c r="N91" i="5"/>
  <c r="N13" i="5" s="1"/>
  <c r="I91" i="5"/>
  <c r="I13" i="5" s="1"/>
  <c r="G96" i="11"/>
  <c r="G134" i="11" s="1"/>
  <c r="H23" i="11"/>
  <c r="E23" i="11" s="1"/>
  <c r="M15" i="11"/>
  <c r="Q96" i="11"/>
  <c r="Q134" i="11" s="1"/>
  <c r="I12" i="11"/>
  <c r="I111" i="11"/>
  <c r="E27" i="11"/>
  <c r="D27" i="11" s="1"/>
  <c r="N111" i="11"/>
  <c r="L26" i="11"/>
  <c r="I26" i="11" s="1"/>
  <c r="I23" i="11"/>
  <c r="P96" i="11"/>
  <c r="P134" i="11" s="1"/>
  <c r="I101" i="11"/>
  <c r="M96" i="11"/>
  <c r="M134" i="11" s="1"/>
  <c r="F96" i="11"/>
  <c r="F134" i="11" s="1"/>
  <c r="L96" i="11"/>
  <c r="L134" i="11" s="1"/>
  <c r="L11" i="11"/>
  <c r="I11" i="11" s="1"/>
  <c r="H56" i="11"/>
  <c r="D22" i="11"/>
  <c r="N20" i="11"/>
  <c r="D14" i="11"/>
  <c r="D13" i="11"/>
  <c r="N75" i="11"/>
  <c r="D30" i="11"/>
  <c r="E26" i="11"/>
  <c r="P56" i="11"/>
  <c r="J10" i="11"/>
  <c r="D15" i="6" s="1"/>
  <c r="P10" i="11"/>
  <c r="D32" i="6" s="1"/>
  <c r="K56" i="11"/>
  <c r="D52" i="11"/>
  <c r="N33" i="11"/>
  <c r="D43" i="11"/>
  <c r="Q10" i="11"/>
  <c r="D33" i="6" s="1"/>
  <c r="I33" i="11"/>
  <c r="I101" i="7"/>
  <c r="Q96" i="7"/>
  <c r="Q134" i="7" s="1"/>
  <c r="Q238" i="5" s="1"/>
  <c r="Q200" i="5" s="1"/>
  <c r="L96" i="7"/>
  <c r="L134" i="7" s="1"/>
  <c r="L238" i="5" s="1"/>
  <c r="L200" i="5" s="1"/>
  <c r="M96" i="7"/>
  <c r="M134" i="7" s="1"/>
  <c r="M238" i="5" s="1"/>
  <c r="M200" i="5" s="1"/>
  <c r="N26" i="7"/>
  <c r="F26" i="7"/>
  <c r="E26" i="7" s="1"/>
  <c r="K96" i="7"/>
  <c r="K134" i="7" s="1"/>
  <c r="K238" i="5" s="1"/>
  <c r="K200" i="5" s="1"/>
  <c r="O20" i="7"/>
  <c r="N20" i="7" s="1"/>
  <c r="K15" i="7"/>
  <c r="O15" i="7"/>
  <c r="N72" i="7"/>
  <c r="O56" i="7"/>
  <c r="E20" i="7"/>
  <c r="D24" i="7"/>
  <c r="E61" i="7"/>
  <c r="P56" i="7"/>
  <c r="I61" i="7"/>
  <c r="D52" i="7"/>
  <c r="E33" i="7"/>
  <c r="D49" i="7"/>
  <c r="D46" i="7"/>
  <c r="D22" i="7"/>
  <c r="D43" i="7"/>
  <c r="D38" i="7"/>
  <c r="D18" i="7"/>
  <c r="P11" i="7"/>
  <c r="I118" i="5"/>
  <c r="Q90" i="5"/>
  <c r="Q26" i="5" s="1"/>
  <c r="I99" i="5"/>
  <c r="E118" i="5"/>
  <c r="H90" i="5"/>
  <c r="H26" i="5" s="1"/>
  <c r="L90" i="5"/>
  <c r="L26" i="5" s="1"/>
  <c r="N118" i="5"/>
  <c r="P90" i="5"/>
  <c r="P26" i="5" s="1"/>
  <c r="M90" i="5"/>
  <c r="M26" i="5" s="1"/>
  <c r="K90" i="5"/>
  <c r="K26" i="5" s="1"/>
  <c r="J90" i="5"/>
  <c r="G90" i="5"/>
  <c r="G26" i="5" s="1"/>
  <c r="H13" i="5"/>
  <c r="D22" i="5"/>
  <c r="D82" i="5"/>
  <c r="D57" i="5"/>
  <c r="D45" i="5"/>
  <c r="D16" i="5" s="1"/>
  <c r="N25" i="5"/>
  <c r="D40" i="5"/>
  <c r="I28" i="5"/>
  <c r="N29" i="5"/>
  <c r="E25" i="5"/>
  <c r="E28" i="5"/>
  <c r="I29" i="5"/>
  <c r="E29" i="5"/>
  <c r="N28" i="5"/>
  <c r="I25" i="5"/>
  <c r="E69" i="10"/>
  <c r="E27" i="8"/>
  <c r="E41" i="8" s="1"/>
  <c r="D38" i="13"/>
  <c r="F10" i="13"/>
  <c r="I66" i="11"/>
  <c r="J56" i="11"/>
  <c r="P96" i="7"/>
  <c r="P134" i="7" s="1"/>
  <c r="P238" i="5" s="1"/>
  <c r="P200" i="5" s="1"/>
  <c r="G10" i="11"/>
  <c r="O96" i="11"/>
  <c r="O134" i="11" s="1"/>
  <c r="O96" i="7"/>
  <c r="O134" i="7" s="1"/>
  <c r="D31" i="5"/>
  <c r="D12" i="5" s="1"/>
  <c r="I12" i="5"/>
  <c r="O90" i="5"/>
  <c r="E15" i="13"/>
  <c r="D15" i="13" s="1"/>
  <c r="J96" i="11"/>
  <c r="J134" i="11" s="1"/>
  <c r="O10" i="13"/>
  <c r="E66" i="11"/>
  <c r="I108" i="7"/>
  <c r="E97" i="7"/>
  <c r="F96" i="7"/>
  <c r="F134" i="7" s="1"/>
  <c r="J96" i="7"/>
  <c r="J134" i="7" s="1"/>
  <c r="I94" i="5"/>
  <c r="N11" i="11"/>
  <c r="E108" i="7"/>
  <c r="F56" i="11"/>
  <c r="E91" i="5"/>
  <c r="E13" i="5" s="1"/>
  <c r="F90" i="5"/>
  <c r="F13" i="5"/>
  <c r="D17" i="11"/>
  <c r="D16" i="11"/>
  <c r="D25" i="11"/>
  <c r="D63" i="5"/>
  <c r="D25" i="7"/>
  <c r="D72" i="13"/>
  <c r="I33" i="7"/>
  <c r="D19" i="13"/>
  <c r="D29" i="13"/>
  <c r="D34" i="11"/>
  <c r="D66" i="5"/>
  <c r="D25" i="13"/>
  <c r="D38" i="11"/>
  <c r="D19" i="7"/>
  <c r="D52" i="5"/>
  <c r="D20" i="5" s="1"/>
  <c r="N56" i="13"/>
  <c r="D56" i="13"/>
  <c r="D18" i="11"/>
  <c r="N33" i="13"/>
  <c r="D33" i="13" s="1"/>
  <c r="D69" i="13"/>
  <c r="D34" i="5"/>
  <c r="D13" i="5" s="1"/>
  <c r="D37" i="5"/>
  <c r="D15" i="5" s="1"/>
  <c r="I11" i="13"/>
  <c r="I10" i="13" s="1"/>
  <c r="E28" i="9"/>
  <c r="E33" i="11"/>
  <c r="J10" i="13"/>
  <c r="N57" i="11"/>
  <c r="D80" i="13"/>
  <c r="N57" i="7"/>
  <c r="E10" i="13"/>
  <c r="E66" i="7"/>
  <c r="F10" i="11" l="1"/>
  <c r="E29" i="11"/>
  <c r="E10" i="11" s="1"/>
  <c r="D13" i="6" s="1"/>
  <c r="D31" i="7"/>
  <c r="D32" i="7"/>
  <c r="D28" i="7"/>
  <c r="D30" i="7"/>
  <c r="M10" i="7"/>
  <c r="D41" i="6" s="1"/>
  <c r="E56" i="11"/>
  <c r="M10" i="11"/>
  <c r="D18" i="6" s="1"/>
  <c r="K10" i="11"/>
  <c r="D16" i="6" s="1"/>
  <c r="O10" i="11"/>
  <c r="D31" i="6" s="1"/>
  <c r="D30" i="6" s="1"/>
  <c r="I15" i="11"/>
  <c r="D15" i="11" s="1"/>
  <c r="N23" i="7"/>
  <c r="N15" i="7"/>
  <c r="N96" i="11"/>
  <c r="I56" i="11"/>
  <c r="E11" i="7"/>
  <c r="L10" i="7"/>
  <c r="D40" i="6" s="1"/>
  <c r="E15" i="7"/>
  <c r="J10" i="7"/>
  <c r="D38" i="6" s="1"/>
  <c r="D21" i="7"/>
  <c r="N56" i="11"/>
  <c r="Q10" i="7"/>
  <c r="D56" i="6" s="1"/>
  <c r="H10" i="7"/>
  <c r="E29" i="7"/>
  <c r="I29" i="7"/>
  <c r="D13" i="7"/>
  <c r="D12" i="11"/>
  <c r="D21" i="11"/>
  <c r="D12" i="7"/>
  <c r="I56" i="7"/>
  <c r="D31" i="11"/>
  <c r="I96" i="11"/>
  <c r="D28" i="11"/>
  <c r="G10" i="7"/>
  <c r="N96" i="7"/>
  <c r="E96" i="11"/>
  <c r="D20" i="11"/>
  <c r="H10" i="11"/>
  <c r="N10" i="11"/>
  <c r="I96" i="7"/>
  <c r="E56" i="7"/>
  <c r="N56" i="7"/>
  <c r="D23" i="7"/>
  <c r="D20" i="7"/>
  <c r="E57" i="8"/>
  <c r="E56" i="8" s="1"/>
  <c r="D23" i="11"/>
  <c r="N134" i="11"/>
  <c r="L10" i="11"/>
  <c r="D17" i="6" s="1"/>
  <c r="E134" i="11"/>
  <c r="I134" i="11"/>
  <c r="D26" i="11"/>
  <c r="D33" i="11"/>
  <c r="D11" i="11"/>
  <c r="F10" i="7"/>
  <c r="D26" i="7"/>
  <c r="E96" i="7"/>
  <c r="O10" i="7"/>
  <c r="D54" i="6" s="1"/>
  <c r="K10" i="7"/>
  <c r="D39" i="6" s="1"/>
  <c r="I15" i="7"/>
  <c r="D33" i="7"/>
  <c r="P10" i="7"/>
  <c r="D55" i="6" s="1"/>
  <c r="N11" i="7"/>
  <c r="I90" i="5"/>
  <c r="J26" i="5"/>
  <c r="I26" i="5" s="1"/>
  <c r="D25" i="5"/>
  <c r="D29" i="5"/>
  <c r="D23" i="5" s="1"/>
  <c r="D28" i="5"/>
  <c r="E90" i="5"/>
  <c r="F26" i="5"/>
  <c r="E26" i="5" s="1"/>
  <c r="J238" i="5"/>
  <c r="I134" i="7"/>
  <c r="O238" i="5"/>
  <c r="O200" i="5" s="1"/>
  <c r="N200" i="5" s="1"/>
  <c r="N134" i="7"/>
  <c r="N238" i="5" s="1"/>
  <c r="F238" i="5"/>
  <c r="E134" i="7"/>
  <c r="O26" i="5"/>
  <c r="N26" i="5" s="1"/>
  <c r="N90" i="5"/>
  <c r="D11" i="13"/>
  <c r="D10" i="13"/>
  <c r="D29" i="11" l="1"/>
  <c r="I10" i="11"/>
  <c r="D14" i="6" s="1"/>
  <c r="D12" i="6" s="1"/>
  <c r="D29" i="6" s="1"/>
  <c r="D19" i="6" s="1"/>
  <c r="E10" i="7"/>
  <c r="D36" i="6" s="1"/>
  <c r="D29" i="7"/>
  <c r="D134" i="11"/>
  <c r="D10" i="11"/>
  <c r="D53" i="6"/>
  <c r="D134" i="7"/>
  <c r="I10" i="7"/>
  <c r="D37" i="6" s="1"/>
  <c r="D15" i="7"/>
  <c r="N10" i="7"/>
  <c r="D11" i="7"/>
  <c r="F200" i="5"/>
  <c r="E200" i="5" s="1"/>
  <c r="E238" i="5"/>
  <c r="J200" i="5"/>
  <c r="I200" i="5" s="1"/>
  <c r="I238" i="5"/>
  <c r="D26" i="5"/>
  <c r="O237" i="5" s="1"/>
  <c r="O234" i="5" s="1"/>
  <c r="D35" i="6" l="1"/>
  <c r="D52" i="6" s="1"/>
  <c r="D42" i="6" s="1"/>
  <c r="D10" i="7"/>
  <c r="O212" i="5"/>
  <c r="O216" i="5"/>
  <c r="O204" i="5"/>
  <c r="O215" i="5"/>
  <c r="O224" i="5"/>
  <c r="O227" i="5"/>
  <c r="O211" i="5"/>
  <c r="O190" i="5"/>
  <c r="O203" i="5"/>
  <c r="O191" i="5"/>
  <c r="O188" i="5"/>
  <c r="O187" i="5" s="1"/>
  <c r="O218" i="5"/>
  <c r="O225" i="5"/>
  <c r="O209" i="5"/>
  <c r="O231" i="5"/>
  <c r="O232" i="5"/>
  <c r="O208" i="5"/>
  <c r="O199" i="5"/>
  <c r="O220" i="5"/>
  <c r="O222" i="5"/>
  <c r="O205" i="5"/>
  <c r="O214" i="5"/>
  <c r="O223" i="5"/>
  <c r="O219" i="5"/>
  <c r="O229" i="5"/>
  <c r="O226" i="5"/>
  <c r="O221" i="5"/>
  <c r="O235" i="5"/>
  <c r="O207" i="5"/>
  <c r="O233" i="5"/>
  <c r="O228" i="5"/>
  <c r="O195" i="5"/>
  <c r="O17" i="5" s="1"/>
  <c r="O202" i="5"/>
  <c r="O21" i="5" s="1"/>
  <c r="O197" i="5"/>
  <c r="O193" i="5"/>
  <c r="O192" i="5" s="1"/>
  <c r="O198" i="5"/>
  <c r="O18" i="5" s="1"/>
  <c r="O196" i="5"/>
  <c r="O19" i="5" s="1"/>
  <c r="O217" i="5"/>
  <c r="Q237" i="5"/>
  <c r="L237" i="5"/>
  <c r="G237" i="5"/>
  <c r="F237" i="5"/>
  <c r="M237" i="5"/>
  <c r="K237" i="5"/>
  <c r="J237" i="5"/>
  <c r="P237" i="5"/>
  <c r="H237" i="5"/>
  <c r="N237" i="5"/>
  <c r="D238" i="5"/>
  <c r="O210" i="5" l="1"/>
  <c r="O189" i="5"/>
  <c r="O206" i="5"/>
  <c r="O194" i="5"/>
  <c r="O16" i="5" s="1"/>
  <c r="O201" i="5"/>
  <c r="O20" i="5" s="1"/>
  <c r="O22" i="5"/>
  <c r="O213" i="5"/>
  <c r="O230" i="5"/>
  <c r="H220" i="5"/>
  <c r="H208" i="5"/>
  <c r="H199" i="5"/>
  <c r="H196" i="5"/>
  <c r="H216" i="5"/>
  <c r="H228" i="5"/>
  <c r="H217" i="5"/>
  <c r="H191" i="5"/>
  <c r="H224" i="5"/>
  <c r="H188" i="5"/>
  <c r="H187" i="5" s="1"/>
  <c r="H195" i="5"/>
  <c r="H231" i="5"/>
  <c r="H205" i="5"/>
  <c r="H214" i="5"/>
  <c r="H219" i="5"/>
  <c r="H211" i="5"/>
  <c r="H234" i="5"/>
  <c r="H235" i="5"/>
  <c r="H233" i="5"/>
  <c r="H212" i="5"/>
  <c r="H190" i="5"/>
  <c r="H207" i="5"/>
  <c r="H193" i="5"/>
  <c r="H192" i="5" s="1"/>
  <c r="H215" i="5"/>
  <c r="H198" i="5"/>
  <c r="H18" i="5" s="1"/>
  <c r="H221" i="5"/>
  <c r="H223" i="5"/>
  <c r="H202" i="5"/>
  <c r="H203" i="5"/>
  <c r="H226" i="5"/>
  <c r="H225" i="5"/>
  <c r="H222" i="5"/>
  <c r="H197" i="5"/>
  <c r="H204" i="5"/>
  <c r="H227" i="5"/>
  <c r="H232" i="5"/>
  <c r="H209" i="5"/>
  <c r="H229" i="5"/>
  <c r="H218" i="5"/>
  <c r="M221" i="5"/>
  <c r="M216" i="5"/>
  <c r="M218" i="5"/>
  <c r="M229" i="5"/>
  <c r="M188" i="5"/>
  <c r="M187" i="5" s="1"/>
  <c r="M228" i="5"/>
  <c r="M202" i="5"/>
  <c r="M199" i="5"/>
  <c r="M223" i="5"/>
  <c r="M211" i="5"/>
  <c r="M215" i="5"/>
  <c r="M232" i="5"/>
  <c r="M217" i="5"/>
  <c r="M222" i="5"/>
  <c r="M198" i="5"/>
  <c r="M18" i="5" s="1"/>
  <c r="M193" i="5"/>
  <c r="M192" i="5" s="1"/>
  <c r="M225" i="5"/>
  <c r="M203" i="5"/>
  <c r="M197" i="5"/>
  <c r="M219" i="5"/>
  <c r="M233" i="5"/>
  <c r="M191" i="5"/>
  <c r="M235" i="5"/>
  <c r="M214" i="5"/>
  <c r="M234" i="5"/>
  <c r="M224" i="5"/>
  <c r="M204" i="5"/>
  <c r="M207" i="5"/>
  <c r="M196" i="5"/>
  <c r="M227" i="5"/>
  <c r="M231" i="5"/>
  <c r="M195" i="5"/>
  <c r="M209" i="5"/>
  <c r="M212" i="5"/>
  <c r="M226" i="5"/>
  <c r="M205" i="5"/>
  <c r="M220" i="5"/>
  <c r="M208" i="5"/>
  <c r="M190" i="5"/>
  <c r="Q222" i="5"/>
  <c r="Q188" i="5"/>
  <c r="Q187" i="5" s="1"/>
  <c r="Q218" i="5"/>
  <c r="Q211" i="5"/>
  <c r="Q229" i="5"/>
  <c r="Q202" i="5"/>
  <c r="Q209" i="5"/>
  <c r="Q233" i="5"/>
  <c r="Q204" i="5"/>
  <c r="Q231" i="5"/>
  <c r="Q220" i="5"/>
  <c r="Q203" i="5"/>
  <c r="Q216" i="5"/>
  <c r="Q235" i="5"/>
  <c r="Q214" i="5"/>
  <c r="Q207" i="5"/>
  <c r="Q215" i="5"/>
  <c r="Q190" i="5"/>
  <c r="Q212" i="5"/>
  <c r="Q205" i="5"/>
  <c r="Q234" i="5"/>
  <c r="Q228" i="5"/>
  <c r="Q226" i="5"/>
  <c r="Q197" i="5"/>
  <c r="Q195" i="5"/>
  <c r="Q191" i="5"/>
  <c r="Q227" i="5"/>
  <c r="Q223" i="5"/>
  <c r="Q224" i="5"/>
  <c r="Q193" i="5"/>
  <c r="Q192" i="5" s="1"/>
  <c r="Q219" i="5"/>
  <c r="Q196" i="5"/>
  <c r="Q198" i="5"/>
  <c r="Q18" i="5" s="1"/>
  <c r="Q217" i="5"/>
  <c r="Q208" i="5"/>
  <c r="Q232" i="5"/>
  <c r="Q225" i="5"/>
  <c r="Q199" i="5"/>
  <c r="Q221" i="5"/>
  <c r="P223" i="5"/>
  <c r="N223" i="5" s="1"/>
  <c r="P235" i="5"/>
  <c r="N235" i="5" s="1"/>
  <c r="P214" i="5"/>
  <c r="P215" i="5"/>
  <c r="N215" i="5" s="1"/>
  <c r="P216" i="5"/>
  <c r="N216" i="5" s="1"/>
  <c r="P205" i="5"/>
  <c r="N205" i="5" s="1"/>
  <c r="P228" i="5"/>
  <c r="N228" i="5" s="1"/>
  <c r="P231" i="5"/>
  <c r="P195" i="5"/>
  <c r="P211" i="5"/>
  <c r="P217" i="5"/>
  <c r="N217" i="5" s="1"/>
  <c r="P227" i="5"/>
  <c r="N227" i="5" s="1"/>
  <c r="P199" i="5"/>
  <c r="N199" i="5" s="1"/>
  <c r="P203" i="5"/>
  <c r="N203" i="5" s="1"/>
  <c r="P232" i="5"/>
  <c r="N232" i="5" s="1"/>
  <c r="P212" i="5"/>
  <c r="N212" i="5" s="1"/>
  <c r="P190" i="5"/>
  <c r="P197" i="5"/>
  <c r="N197" i="5" s="1"/>
  <c r="P207" i="5"/>
  <c r="P224" i="5"/>
  <c r="N224" i="5" s="1"/>
  <c r="P229" i="5"/>
  <c r="N229" i="5" s="1"/>
  <c r="P196" i="5"/>
  <c r="P204" i="5"/>
  <c r="N204" i="5" s="1"/>
  <c r="P208" i="5"/>
  <c r="N208" i="5" s="1"/>
  <c r="P198" i="5"/>
  <c r="P218" i="5"/>
  <c r="N218" i="5" s="1"/>
  <c r="P222" i="5"/>
  <c r="N222" i="5" s="1"/>
  <c r="P202" i="5"/>
  <c r="P233" i="5"/>
  <c r="N233" i="5" s="1"/>
  <c r="P193" i="5"/>
  <c r="P220" i="5"/>
  <c r="N220" i="5" s="1"/>
  <c r="P225" i="5"/>
  <c r="N225" i="5" s="1"/>
  <c r="P221" i="5"/>
  <c r="N221" i="5" s="1"/>
  <c r="P191" i="5"/>
  <c r="N191" i="5" s="1"/>
  <c r="P234" i="5"/>
  <c r="N234" i="5" s="1"/>
  <c r="P209" i="5"/>
  <c r="N209" i="5" s="1"/>
  <c r="P219" i="5"/>
  <c r="N219" i="5" s="1"/>
  <c r="P188" i="5"/>
  <c r="P226" i="5"/>
  <c r="N226" i="5" s="1"/>
  <c r="F231" i="5"/>
  <c r="F203" i="5"/>
  <c r="F188" i="5"/>
  <c r="F211" i="5"/>
  <c r="F235" i="5"/>
  <c r="F207" i="5"/>
  <c r="F227" i="5"/>
  <c r="F197" i="5"/>
  <c r="F215" i="5"/>
  <c r="F223" i="5"/>
  <c r="F221" i="5"/>
  <c r="F232" i="5"/>
  <c r="F205" i="5"/>
  <c r="F217" i="5"/>
  <c r="F195" i="5"/>
  <c r="F199" i="5"/>
  <c r="F204" i="5"/>
  <c r="F225" i="5"/>
  <c r="F228" i="5"/>
  <c r="F198" i="5"/>
  <c r="F224" i="5"/>
  <c r="F216" i="5"/>
  <c r="F222" i="5"/>
  <c r="F218" i="5"/>
  <c r="F214" i="5"/>
  <c r="F202" i="5"/>
  <c r="F234" i="5"/>
  <c r="F191" i="5"/>
  <c r="F208" i="5"/>
  <c r="F233" i="5"/>
  <c r="F209" i="5"/>
  <c r="F190" i="5"/>
  <c r="F226" i="5"/>
  <c r="F219" i="5"/>
  <c r="F212" i="5"/>
  <c r="F193" i="5"/>
  <c r="F229" i="5"/>
  <c r="F196" i="5"/>
  <c r="F220" i="5"/>
  <c r="E237" i="5"/>
  <c r="J226" i="5"/>
  <c r="J221" i="5"/>
  <c r="J227" i="5"/>
  <c r="J190" i="5"/>
  <c r="J216" i="5"/>
  <c r="J219" i="5"/>
  <c r="J195" i="5"/>
  <c r="J203" i="5"/>
  <c r="J232" i="5"/>
  <c r="J209" i="5"/>
  <c r="J202" i="5"/>
  <c r="J212" i="5"/>
  <c r="J235" i="5"/>
  <c r="J211" i="5"/>
  <c r="J196" i="5"/>
  <c r="J217" i="5"/>
  <c r="J231" i="5"/>
  <c r="J222" i="5"/>
  <c r="J223" i="5"/>
  <c r="I237" i="5"/>
  <c r="J204" i="5"/>
  <c r="J218" i="5"/>
  <c r="J214" i="5"/>
  <c r="J207" i="5"/>
  <c r="J225" i="5"/>
  <c r="J193" i="5"/>
  <c r="J191" i="5"/>
  <c r="J220" i="5"/>
  <c r="J215" i="5"/>
  <c r="J198" i="5"/>
  <c r="J224" i="5"/>
  <c r="J234" i="5"/>
  <c r="J233" i="5"/>
  <c r="J197" i="5"/>
  <c r="J228" i="5"/>
  <c r="J188" i="5"/>
  <c r="J229" i="5"/>
  <c r="J205" i="5"/>
  <c r="J208" i="5"/>
  <c r="J199" i="5"/>
  <c r="G224" i="5"/>
  <c r="G214" i="5"/>
  <c r="G231" i="5"/>
  <c r="G235" i="5"/>
  <c r="G193" i="5"/>
  <c r="G192" i="5" s="1"/>
  <c r="G203" i="5"/>
  <c r="G223" i="5"/>
  <c r="G221" i="5"/>
  <c r="G196" i="5"/>
  <c r="G207" i="5"/>
  <c r="G225" i="5"/>
  <c r="G229" i="5"/>
  <c r="G232" i="5"/>
  <c r="G204" i="5"/>
  <c r="G218" i="5"/>
  <c r="G220" i="5"/>
  <c r="G212" i="5"/>
  <c r="G216" i="5"/>
  <c r="G217" i="5"/>
  <c r="G215" i="5"/>
  <c r="G202" i="5"/>
  <c r="G191" i="5"/>
  <c r="G219" i="5"/>
  <c r="G233" i="5"/>
  <c r="G195" i="5"/>
  <c r="G228" i="5"/>
  <c r="G205" i="5"/>
  <c r="G190" i="5"/>
  <c r="G209" i="5"/>
  <c r="G234" i="5"/>
  <c r="G198" i="5"/>
  <c r="G18" i="5" s="1"/>
  <c r="G211" i="5"/>
  <c r="G227" i="5"/>
  <c r="G199" i="5"/>
  <c r="G222" i="5"/>
  <c r="G197" i="5"/>
  <c r="G226" i="5"/>
  <c r="G188" i="5"/>
  <c r="G187" i="5" s="1"/>
  <c r="G208" i="5"/>
  <c r="K219" i="5"/>
  <c r="K209" i="5"/>
  <c r="K222" i="5"/>
  <c r="K193" i="5"/>
  <c r="K192" i="5" s="1"/>
  <c r="K226" i="5"/>
  <c r="K188" i="5"/>
  <c r="K187" i="5" s="1"/>
  <c r="K207" i="5"/>
  <c r="K232" i="5"/>
  <c r="K218" i="5"/>
  <c r="K203" i="5"/>
  <c r="K227" i="5"/>
  <c r="K204" i="5"/>
  <c r="K221" i="5"/>
  <c r="K199" i="5"/>
  <c r="K212" i="5"/>
  <c r="K217" i="5"/>
  <c r="K211" i="5"/>
  <c r="K231" i="5"/>
  <c r="K197" i="5"/>
  <c r="K216" i="5"/>
  <c r="K229" i="5"/>
  <c r="K215" i="5"/>
  <c r="K224" i="5"/>
  <c r="K198" i="5"/>
  <c r="K18" i="5" s="1"/>
  <c r="K195" i="5"/>
  <c r="K205" i="5"/>
  <c r="K190" i="5"/>
  <c r="K223" i="5"/>
  <c r="K233" i="5"/>
  <c r="K235" i="5"/>
  <c r="K196" i="5"/>
  <c r="K214" i="5"/>
  <c r="K234" i="5"/>
  <c r="K202" i="5"/>
  <c r="K228" i="5"/>
  <c r="K191" i="5"/>
  <c r="K208" i="5"/>
  <c r="K220" i="5"/>
  <c r="K225" i="5"/>
  <c r="L227" i="5"/>
  <c r="L221" i="5"/>
  <c r="L196" i="5"/>
  <c r="L218" i="5"/>
  <c r="L190" i="5"/>
  <c r="L233" i="5"/>
  <c r="L215" i="5"/>
  <c r="L204" i="5"/>
  <c r="L235" i="5"/>
  <c r="L208" i="5"/>
  <c r="L231" i="5"/>
  <c r="L203" i="5"/>
  <c r="L229" i="5"/>
  <c r="L202" i="5"/>
  <c r="L197" i="5"/>
  <c r="L234" i="5"/>
  <c r="L225" i="5"/>
  <c r="L217" i="5"/>
  <c r="L193" i="5"/>
  <c r="L192" i="5" s="1"/>
  <c r="L216" i="5"/>
  <c r="L191" i="5"/>
  <c r="L232" i="5"/>
  <c r="L224" i="5"/>
  <c r="L195" i="5"/>
  <c r="L188" i="5"/>
  <c r="L187" i="5" s="1"/>
  <c r="L205" i="5"/>
  <c r="L209" i="5"/>
  <c r="L214" i="5"/>
  <c r="L222" i="5"/>
  <c r="L223" i="5"/>
  <c r="L220" i="5"/>
  <c r="L198" i="5"/>
  <c r="L18" i="5" s="1"/>
  <c r="L226" i="5"/>
  <c r="L207" i="5"/>
  <c r="L199" i="5"/>
  <c r="L228" i="5"/>
  <c r="L211" i="5"/>
  <c r="L212" i="5"/>
  <c r="L219" i="5"/>
  <c r="O186" i="5" l="1"/>
  <c r="O23" i="5" s="1"/>
  <c r="D48" i="4" s="1"/>
  <c r="D81" i="4" s="1"/>
  <c r="L206" i="5"/>
  <c r="K210" i="5"/>
  <c r="G210" i="5"/>
  <c r="G189" i="5"/>
  <c r="I199" i="5"/>
  <c r="I220" i="5"/>
  <c r="I203" i="5"/>
  <c r="E191" i="5"/>
  <c r="E218" i="5"/>
  <c r="E199" i="5"/>
  <c r="E232" i="5"/>
  <c r="H189" i="5"/>
  <c r="M230" i="5"/>
  <c r="L230" i="5"/>
  <c r="L22" i="5"/>
  <c r="L19" i="5"/>
  <c r="K21" i="5"/>
  <c r="K201" i="5"/>
  <c r="K20" i="5" s="1"/>
  <c r="K230" i="5"/>
  <c r="G17" i="5"/>
  <c r="G194" i="5"/>
  <c r="G16" i="5" s="1"/>
  <c r="G21" i="5"/>
  <c r="G201" i="5"/>
  <c r="G20" i="5" s="1"/>
  <c r="G22" i="5"/>
  <c r="G19" i="5"/>
  <c r="I229" i="5"/>
  <c r="I233" i="5"/>
  <c r="I215" i="5"/>
  <c r="I225" i="5"/>
  <c r="I204" i="5"/>
  <c r="J230" i="5"/>
  <c r="I231" i="5"/>
  <c r="I235" i="5"/>
  <c r="I232" i="5"/>
  <c r="I216" i="5"/>
  <c r="I226" i="5"/>
  <c r="E229" i="5"/>
  <c r="E226" i="5"/>
  <c r="E208" i="5"/>
  <c r="E214" i="5"/>
  <c r="F213" i="5"/>
  <c r="E224" i="5"/>
  <c r="E204" i="5"/>
  <c r="E205" i="5"/>
  <c r="E215" i="5"/>
  <c r="E235" i="5"/>
  <c r="F230" i="5"/>
  <c r="E231" i="5"/>
  <c r="P21" i="5"/>
  <c r="P201" i="5"/>
  <c r="N202" i="5"/>
  <c r="N21" i="5" s="1"/>
  <c r="N231" i="5"/>
  <c r="P230" i="5"/>
  <c r="N230" i="5" s="1"/>
  <c r="Q19" i="5"/>
  <c r="Q22" i="5"/>
  <c r="Q206" i="5"/>
  <c r="Q210" i="5"/>
  <c r="M189" i="5"/>
  <c r="M21" i="5"/>
  <c r="M201" i="5"/>
  <c r="M20" i="5" s="1"/>
  <c r="H206" i="5"/>
  <c r="H213" i="5"/>
  <c r="L21" i="5"/>
  <c r="L201" i="5"/>
  <c r="L20" i="5" s="1"/>
  <c r="J187" i="5"/>
  <c r="I188" i="5"/>
  <c r="I187" i="5" s="1"/>
  <c r="I234" i="5"/>
  <c r="I207" i="5"/>
  <c r="J206" i="5"/>
  <c r="I217" i="5"/>
  <c r="I212" i="5"/>
  <c r="J189" i="5"/>
  <c r="I190" i="5"/>
  <c r="D237" i="5"/>
  <c r="F192" i="5"/>
  <c r="E192" i="5" s="1"/>
  <c r="E193" i="5"/>
  <c r="F189" i="5"/>
  <c r="E190" i="5"/>
  <c r="F18" i="5"/>
  <c r="E198" i="5"/>
  <c r="E18" i="5" s="1"/>
  <c r="E197" i="5"/>
  <c r="F210" i="5"/>
  <c r="E211" i="5"/>
  <c r="N207" i="5"/>
  <c r="P206" i="5"/>
  <c r="N206" i="5" s="1"/>
  <c r="P213" i="5"/>
  <c r="N213" i="5" s="1"/>
  <c r="N214" i="5"/>
  <c r="Q213" i="5"/>
  <c r="M210" i="5"/>
  <c r="L210" i="5"/>
  <c r="L189" i="5"/>
  <c r="K213" i="5"/>
  <c r="G230" i="5"/>
  <c r="I208" i="5"/>
  <c r="I228" i="5"/>
  <c r="I224" i="5"/>
  <c r="I191" i="5"/>
  <c r="I214" i="5"/>
  <c r="J213" i="5"/>
  <c r="I223" i="5"/>
  <c r="J22" i="5"/>
  <c r="J19" i="5"/>
  <c r="I196" i="5"/>
  <c r="J21" i="5"/>
  <c r="I202" i="5"/>
  <c r="I21" i="5" s="1"/>
  <c r="J201" i="5"/>
  <c r="J17" i="5"/>
  <c r="I195" i="5"/>
  <c r="I17" i="5" s="1"/>
  <c r="J194" i="5"/>
  <c r="I227" i="5"/>
  <c r="E220" i="5"/>
  <c r="E212" i="5"/>
  <c r="E209" i="5"/>
  <c r="E234" i="5"/>
  <c r="E222" i="5"/>
  <c r="E228" i="5"/>
  <c r="F17" i="5"/>
  <c r="F194" i="5"/>
  <c r="E195" i="5"/>
  <c r="E17" i="5" s="1"/>
  <c r="E221" i="5"/>
  <c r="E227" i="5"/>
  <c r="F187" i="5"/>
  <c r="E188" i="5"/>
  <c r="E187" i="5" s="1"/>
  <c r="P187" i="5"/>
  <c r="N188" i="5"/>
  <c r="N187" i="5" s="1"/>
  <c r="P192" i="5"/>
  <c r="N192" i="5" s="1"/>
  <c r="N193" i="5"/>
  <c r="N196" i="5"/>
  <c r="P22" i="5"/>
  <c r="P19" i="5"/>
  <c r="P210" i="5"/>
  <c r="N210" i="5" s="1"/>
  <c r="N211" i="5"/>
  <c r="Q189" i="5"/>
  <c r="Q230" i="5"/>
  <c r="Q21" i="5"/>
  <c r="Q201" i="5"/>
  <c r="Q20" i="5" s="1"/>
  <c r="M19" i="5"/>
  <c r="M22" i="5"/>
  <c r="H21" i="5"/>
  <c r="H201" i="5"/>
  <c r="H20" i="5" s="1"/>
  <c r="H210" i="5"/>
  <c r="H230" i="5"/>
  <c r="H19" i="5"/>
  <c r="H22" i="5"/>
  <c r="K17" i="5"/>
  <c r="K194" i="5"/>
  <c r="K16" i="5" s="1"/>
  <c r="L213" i="5"/>
  <c r="L17" i="5"/>
  <c r="L194" i="5"/>
  <c r="L16" i="5" s="1"/>
  <c r="K19" i="5"/>
  <c r="K22" i="5"/>
  <c r="K189" i="5"/>
  <c r="K206" i="5"/>
  <c r="G206" i="5"/>
  <c r="G213" i="5"/>
  <c r="I205" i="5"/>
  <c r="I197" i="5"/>
  <c r="J18" i="5"/>
  <c r="I198" i="5"/>
  <c r="I18" i="5" s="1"/>
  <c r="J192" i="5"/>
  <c r="I192" i="5" s="1"/>
  <c r="I193" i="5"/>
  <c r="I218" i="5"/>
  <c r="I222" i="5"/>
  <c r="I211" i="5"/>
  <c r="J210" i="5"/>
  <c r="I209" i="5"/>
  <c r="I219" i="5"/>
  <c r="I221" i="5"/>
  <c r="F19" i="5"/>
  <c r="F22" i="5"/>
  <c r="E196" i="5"/>
  <c r="E219" i="5"/>
  <c r="E233" i="5"/>
  <c r="F21" i="5"/>
  <c r="E202" i="5"/>
  <c r="F201" i="5"/>
  <c r="E216" i="5"/>
  <c r="E225" i="5"/>
  <c r="E217" i="5"/>
  <c r="E223" i="5"/>
  <c r="F206" i="5"/>
  <c r="E207" i="5"/>
  <c r="E203" i="5"/>
  <c r="P18" i="5"/>
  <c r="N198" i="5"/>
  <c r="N18" i="5" s="1"/>
  <c r="P189" i="5"/>
  <c r="N189" i="5" s="1"/>
  <c r="N190" i="5"/>
  <c r="P17" i="5"/>
  <c r="N195" i="5"/>
  <c r="N17" i="5" s="1"/>
  <c r="P194" i="5"/>
  <c r="Q17" i="5"/>
  <c r="Q194" i="5"/>
  <c r="Q16" i="5" s="1"/>
  <c r="M17" i="5"/>
  <c r="M194" i="5"/>
  <c r="M16" i="5" s="1"/>
  <c r="M206" i="5"/>
  <c r="M213" i="5"/>
  <c r="H17" i="5"/>
  <c r="H194" i="5"/>
  <c r="H16" i="5" s="1"/>
  <c r="O27" i="5" l="1"/>
  <c r="O24" i="5" s="1"/>
  <c r="I230" i="5"/>
  <c r="I210" i="5"/>
  <c r="Q186" i="5"/>
  <c r="Q23" i="5" s="1"/>
  <c r="D50" i="4" s="1"/>
  <c r="D83" i="4" s="1"/>
  <c r="E189" i="5"/>
  <c r="G186" i="5"/>
  <c r="G23" i="5" s="1"/>
  <c r="K186" i="5"/>
  <c r="K27" i="5" s="1"/>
  <c r="K24" i="5" s="1"/>
  <c r="E39" i="9"/>
  <c r="E21" i="5"/>
  <c r="E19" i="5"/>
  <c r="E22" i="5"/>
  <c r="F186" i="5"/>
  <c r="F16" i="5"/>
  <c r="E194" i="5"/>
  <c r="E16" i="5" s="1"/>
  <c r="J20" i="5"/>
  <c r="I201" i="5"/>
  <c r="I20" i="5" s="1"/>
  <c r="L186" i="5"/>
  <c r="J16" i="5"/>
  <c r="I194" i="5"/>
  <c r="I16" i="5" s="1"/>
  <c r="E210" i="5"/>
  <c r="H186" i="5"/>
  <c r="E230" i="5"/>
  <c r="P16" i="5"/>
  <c r="N194" i="5"/>
  <c r="N16" i="5" s="1"/>
  <c r="E206" i="5"/>
  <c r="M186" i="5"/>
  <c r="N19" i="5"/>
  <c r="N22" i="5"/>
  <c r="P186" i="5"/>
  <c r="I206" i="5"/>
  <c r="J186" i="5"/>
  <c r="P20" i="5"/>
  <c r="N201" i="5"/>
  <c r="N20" i="5" s="1"/>
  <c r="F20" i="5"/>
  <c r="E201" i="5"/>
  <c r="E20" i="5" s="1"/>
  <c r="I19" i="5"/>
  <c r="I22" i="5"/>
  <c r="I213" i="5"/>
  <c r="I189" i="5"/>
  <c r="E213" i="5"/>
  <c r="K23" i="5" l="1"/>
  <c r="D44" i="4" s="1"/>
  <c r="Q27" i="5"/>
  <c r="Q24" i="5" s="1"/>
  <c r="G27" i="5"/>
  <c r="G24" i="5" s="1"/>
  <c r="E186" i="5"/>
  <c r="E23" i="5" s="1"/>
  <c r="D41" i="4" s="1"/>
  <c r="D74" i="4" s="1"/>
  <c r="D88" i="4" s="1"/>
  <c r="I186" i="5"/>
  <c r="I23" i="5" s="1"/>
  <c r="D42" i="4" s="1"/>
  <c r="N186" i="5"/>
  <c r="N23" i="5" s="1"/>
  <c r="J27" i="5"/>
  <c r="J23" i="5"/>
  <c r="D43" i="4" s="1"/>
  <c r="L27" i="5"/>
  <c r="L24" i="5" s="1"/>
  <c r="L23" i="5"/>
  <c r="D45" i="4" s="1"/>
  <c r="M27" i="5"/>
  <c r="M24" i="5" s="1"/>
  <c r="M23" i="5"/>
  <c r="D46" i="4" s="1"/>
  <c r="D79" i="4" s="1"/>
  <c r="D93" i="4" s="1"/>
  <c r="F23" i="5"/>
  <c r="F27" i="5"/>
  <c r="E38" i="9"/>
  <c r="E40" i="9"/>
  <c r="P27" i="5"/>
  <c r="P23" i="5"/>
  <c r="D49" i="4" s="1"/>
  <c r="H23" i="5"/>
  <c r="H27" i="5"/>
  <c r="H24" i="5" s="1"/>
  <c r="D19" i="4" l="1"/>
  <c r="D77" i="4" s="1"/>
  <c r="D91" i="4" s="1"/>
  <c r="D16" i="4"/>
  <c r="D76" i="4" s="1"/>
  <c r="D90" i="4" s="1"/>
  <c r="D23" i="4"/>
  <c r="D78" i="4" s="1"/>
  <c r="D92" i="4" s="1"/>
  <c r="D82" i="4"/>
  <c r="D47" i="4"/>
  <c r="D80" i="4" s="1"/>
  <c r="F24" i="5"/>
  <c r="E27" i="5"/>
  <c r="J24" i="5"/>
  <c r="I27" i="5"/>
  <c r="I24" i="5" s="1"/>
  <c r="P24" i="5"/>
  <c r="N27" i="5"/>
  <c r="N24" i="5" s="1"/>
  <c r="D40" i="4"/>
  <c r="D15" i="4" l="1"/>
  <c r="D11" i="4" s="1"/>
  <c r="D73" i="4" s="1"/>
  <c r="D87" i="4" s="1"/>
  <c r="D39" i="4"/>
  <c r="D27" i="5"/>
  <c r="E24" i="5"/>
  <c r="D24" i="5" s="1"/>
  <c r="D75" i="4" l="1"/>
  <c r="D89" i="4" s="1"/>
</calcChain>
</file>

<file path=xl/sharedStrings.xml><?xml version="1.0" encoding="utf-8"?>
<sst xmlns="http://schemas.openxmlformats.org/spreadsheetml/2006/main" count="2762" uniqueCount="1258">
  <si>
    <t>Ūkio subjektas: UAB "Vilkaviškio vandenys"</t>
  </si>
  <si>
    <t>Ataskaitinis laikotarpis: 2022-01-01 - 2023-01-01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</si>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</sst>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52">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b/>
      <sz val="11"/>
      <name val="Times New Roman Baltic"/>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b/>
      <sz val="11"/>
      <color theme="1"/>
      <name val="Calibri"/>
      <scheme val="minor"/>
    </font>
    <font>
      <b/>
      <sz val="12"/>
      <name val="Times New Roman"/>
      <family val="1"/>
      <charset val="186"/>
    </font>
    <font>
      <i/>
      <sz val="10"/>
      <name val="Times New Roman"/>
      <family val="1"/>
    </font>
    <font>
      <sz val="12"/>
      <name val="Times New Roman"/>
      <family val="1"/>
      <charset val="186"/>
    </font>
    <font>
      <sz val="11"/>
      <color theme="1"/>
      <name val="Calibri"/>
      <charset val="186"/>
      <scheme val="minor"/>
    </font>
    <font>
      <sz val="12"/>
      <name val="Times New Roman Baltic"/>
      <charset val="186"/>
    </font>
    <font>
      <sz val="1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12">
    <xf numFmtId="0" fontId="0" fillId="0" borderId="0"/>
    <xf numFmtId="0" fontId="51" fillId="0" borderId="0"/>
    <xf numFmtId="0" fontId="48" fillId="0" borderId="0"/>
    <xf numFmtId="173" fontId="49" fillId="0" borderId="0" applyFont="0" applyFill="0" applyBorder="0" applyAlignment="0" applyProtection="0"/>
    <xf numFmtId="0" fontId="51" fillId="0" borderId="0"/>
    <xf numFmtId="0" fontId="51" fillId="0" borderId="0"/>
    <xf numFmtId="0" fontId="51" fillId="0" borderId="0"/>
    <xf numFmtId="0" fontId="50" fillId="0" borderId="0"/>
    <xf numFmtId="0" fontId="51" fillId="0" borderId="0"/>
    <xf numFmtId="174" fontId="49" fillId="0" borderId="0" applyFont="0" applyFill="0" applyBorder="0" applyAlignment="0" applyProtection="0"/>
    <xf numFmtId="0" fontId="51" fillId="0" borderId="0"/>
    <xf numFmtId="0" fontId="4" fillId="0" borderId="0"/>
  </cellStyleXfs>
  <cellXfs count="1452">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4" xfId="0" applyFont="1" applyBorder="1"/>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42"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wrapText="1"/>
    </xf>
    <xf numFmtId="4" fontId="20" fillId="2" borderId="44"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0"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2"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0"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4" fontId="20" fillId="2" borderId="51"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6"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xf>
    <xf numFmtId="4" fontId="20" fillId="2" borderId="60"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20" fillId="2" borderId="61" xfId="0" applyNumberFormat="1" applyFont="1" applyFill="1" applyBorder="1" applyAlignment="1">
      <alignment horizontal="center" vertical="center" wrapText="1"/>
    </xf>
    <xf numFmtId="4" fontId="20" fillId="2" borderId="62"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6" xfId="0" applyNumberFormat="1" applyFont="1" applyFill="1" applyBorder="1" applyAlignment="1">
      <alignment horizontal="right" wrapText="1"/>
    </xf>
    <xf numFmtId="4" fontId="5" fillId="0" borderId="0" xfId="0" applyNumberFormat="1" applyFont="1"/>
    <xf numFmtId="4" fontId="15" fillId="2" borderId="63" xfId="0" applyNumberFormat="1" applyFont="1" applyFill="1" applyBorder="1" applyAlignment="1">
      <alignment horizontal="center" vertical="center" wrapText="1"/>
    </xf>
    <xf numFmtId="4" fontId="15" fillId="2" borderId="64" xfId="0" applyNumberFormat="1" applyFont="1" applyFill="1" applyBorder="1" applyAlignment="1">
      <alignment horizontal="left" vertical="center" wrapText="1"/>
    </xf>
    <xf numFmtId="166" fontId="15" fillId="2" borderId="64"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5" xfId="0" applyNumberFormat="1" applyFont="1" applyFill="1" applyBorder="1" applyAlignment="1">
      <alignment horizontal="center" vertical="center" wrapText="1"/>
    </xf>
    <xf numFmtId="166" fontId="15" fillId="2" borderId="66" xfId="0" applyNumberFormat="1" applyFont="1" applyFill="1" applyBorder="1" applyAlignment="1">
      <alignment horizontal="center" vertical="center" wrapText="1"/>
    </xf>
    <xf numFmtId="166" fontId="15" fillId="2" borderId="42" xfId="0" applyNumberFormat="1" applyFont="1" applyFill="1" applyBorder="1" applyAlignment="1">
      <alignment horizontal="center" vertical="center" wrapText="1"/>
    </xf>
    <xf numFmtId="166" fontId="15" fillId="2" borderId="67" xfId="0" applyNumberFormat="1" applyFont="1" applyFill="1" applyBorder="1" applyAlignment="1">
      <alignment horizontal="center" vertical="center" wrapText="1"/>
    </xf>
    <xf numFmtId="166" fontId="15" fillId="2" borderId="68" xfId="0" applyNumberFormat="1" applyFont="1" applyFill="1" applyBorder="1" applyAlignment="1">
      <alignment horizontal="center" vertical="center" wrapText="1"/>
    </xf>
    <xf numFmtId="166" fontId="21" fillId="2" borderId="63"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15" fillId="2" borderId="73" xfId="0" applyNumberFormat="1" applyFont="1" applyFill="1" applyBorder="1" applyAlignment="1">
      <alignment horizontal="center" vertical="center" wrapText="1"/>
    </xf>
    <xf numFmtId="4" fontId="15" fillId="2" borderId="74" xfId="0" applyNumberFormat="1" applyFont="1" applyFill="1" applyBorder="1" applyAlignment="1">
      <alignment horizontal="center" vertical="center" wrapText="1"/>
    </xf>
    <xf numFmtId="4" fontId="15" fillId="2" borderId="75" xfId="0" applyNumberFormat="1" applyFont="1" applyFill="1" applyBorder="1" applyAlignment="1">
      <alignment horizontal="center" vertical="center" wrapText="1"/>
    </xf>
    <xf numFmtId="4" fontId="21" fillId="2" borderId="69"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2"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61" xfId="0" applyNumberFormat="1" applyFont="1" applyFill="1" applyBorder="1" applyAlignment="1">
      <alignment horizontal="center" vertical="center" wrapText="1"/>
    </xf>
    <xf numFmtId="4" fontId="10" fillId="2" borderId="62" xfId="0" applyNumberFormat="1" applyFont="1" applyFill="1" applyBorder="1" applyAlignment="1">
      <alignment horizontal="center" vertical="center" wrapText="1"/>
    </xf>
    <xf numFmtId="4" fontId="10" fillId="2" borderId="76" xfId="0" applyNumberFormat="1" applyFont="1" applyFill="1" applyBorder="1" applyAlignment="1">
      <alignment horizontal="right"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0" fillId="2" borderId="8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4" fontId="10" fillId="2" borderId="82"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Border="1" applyAlignment="1" applyProtection="1">
      <alignment horizontal="center" vertical="center" wrapText="1"/>
      <protection locked="0"/>
    </xf>
    <xf numFmtId="4" fontId="15" fillId="0" borderId="38" xfId="0" applyNumberFormat="1" applyFont="1" applyBorder="1" applyAlignment="1" applyProtection="1">
      <alignment horizontal="center" vertical="center" wrapText="1"/>
      <protection locked="0"/>
    </xf>
    <xf numFmtId="4" fontId="15" fillId="0" borderId="31"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0" borderId="55"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5" fillId="2" borderId="52" xfId="0" applyNumberFormat="1" applyFont="1" applyFill="1" applyBorder="1" applyAlignment="1">
      <alignment horizontal="left" wrapText="1"/>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2" borderId="6" xfId="0" applyNumberFormat="1" applyFont="1" applyFill="1" applyBorder="1" applyAlignment="1" applyProtection="1">
      <alignment horizontal="center" vertical="center" wrapText="1"/>
    </xf>
    <xf numFmtId="4" fontId="10" fillId="0" borderId="30"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83" xfId="0" applyNumberFormat="1" applyFont="1" applyFill="1" applyBorder="1" applyAlignment="1">
      <alignment horizontal="right" wrapText="1"/>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2" xfId="0" applyNumberFormat="1" applyFont="1" applyFill="1" applyBorder="1" applyAlignment="1" applyProtection="1">
      <alignment horizontal="center" vertical="center" wrapText="1"/>
      <protection locked="0"/>
    </xf>
    <xf numFmtId="4" fontId="15" fillId="0" borderId="54" xfId="0" applyNumberFormat="1" applyFont="1" applyBorder="1" applyAlignment="1" applyProtection="1">
      <alignment horizontal="center" vertical="center" wrapText="1"/>
      <protection locked="0"/>
    </xf>
    <xf numFmtId="4" fontId="15" fillId="0" borderId="21" xfId="0" applyNumberFormat="1" applyFont="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0" borderId="62"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58"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6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8" xfId="0" applyNumberFormat="1" applyFont="1" applyFill="1" applyBorder="1" applyAlignment="1" applyProtection="1">
      <alignment horizontal="center" vertical="center" wrapText="1"/>
      <protection locked="0"/>
    </xf>
    <xf numFmtId="4" fontId="20" fillId="3" borderId="24"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3" borderId="84" xfId="0" applyNumberFormat="1" applyFont="1" applyFill="1" applyBorder="1" applyAlignment="1" applyProtection="1">
      <alignment horizontal="center" vertical="center" wrapText="1"/>
      <protection locked="0"/>
    </xf>
    <xf numFmtId="4" fontId="20" fillId="3" borderId="35" xfId="0" applyNumberFormat="1" applyFont="1" applyFill="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3" borderId="62" xfId="0" applyNumberFormat="1" applyFont="1" applyFill="1" applyBorder="1" applyAlignment="1" applyProtection="1">
      <alignment horizontal="center" vertical="center" wrapText="1"/>
      <protection locked="0"/>
    </xf>
    <xf numFmtId="4" fontId="15" fillId="3" borderId="27" xfId="0" applyNumberFormat="1" applyFont="1" applyFill="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5" xfId="0" applyNumberFormat="1" applyFont="1" applyFill="1" applyBorder="1" applyAlignment="1" applyProtection="1">
      <alignment horizontal="center" vertical="center" wrapText="1"/>
      <protection locked="0"/>
    </xf>
    <xf numFmtId="4" fontId="10" fillId="3" borderId="31" xfId="0" applyNumberFormat="1" applyFont="1" applyFill="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3" borderId="62" xfId="0" applyNumberFormat="1" applyFont="1" applyFill="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4" xfId="0" applyNumberFormat="1" applyFont="1" applyFill="1" applyBorder="1" applyAlignment="1">
      <alignment horizontal="center" vertical="center"/>
    </xf>
    <xf numFmtId="166" fontId="15" fillId="0" borderId="85"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6"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4" fontId="15" fillId="2" borderId="58"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85"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2" xfId="0" applyNumberFormat="1" applyFont="1" applyFill="1" applyBorder="1" applyAlignment="1">
      <alignment horizontal="center" vertical="center" wrapText="1"/>
    </xf>
    <xf numFmtId="166" fontId="15" fillId="3" borderId="52" xfId="0" applyNumberFormat="1" applyFont="1" applyFill="1" applyBorder="1" applyAlignment="1" applyProtection="1">
      <alignment horizontal="center" vertical="center" wrapText="1"/>
      <protection locked="0"/>
    </xf>
    <xf numFmtId="166" fontId="15" fillId="3" borderId="85" xfId="0" applyNumberFormat="1" applyFont="1" applyFill="1" applyBorder="1" applyAlignment="1">
      <alignment horizontal="center" vertical="center" wrapText="1"/>
    </xf>
    <xf numFmtId="166" fontId="10" fillId="3" borderId="85"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4" fontId="10" fillId="2" borderId="84"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6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4" fontId="15" fillId="2" borderId="86" xfId="0" applyNumberFormat="1" applyFont="1" applyFill="1" applyBorder="1" applyAlignment="1">
      <alignment horizontal="center" vertical="center" wrapText="1"/>
    </xf>
    <xf numFmtId="4" fontId="15" fillId="2" borderId="8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4" fontId="20" fillId="2" borderId="18" xfId="0" applyNumberFormat="1" applyFont="1" applyFill="1" applyBorder="1" applyAlignment="1">
      <alignment horizontal="center" vertical="center" wrapText="1"/>
    </xf>
    <xf numFmtId="4" fontId="15" fillId="2" borderId="88" xfId="0" applyNumberFormat="1" applyFont="1" applyFill="1" applyBorder="1" applyAlignment="1">
      <alignment horizontal="center" vertical="center" wrapText="1"/>
    </xf>
    <xf numFmtId="4" fontId="20" fillId="2" borderId="89" xfId="0" applyNumberFormat="1" applyFont="1" applyFill="1" applyBorder="1" applyAlignment="1">
      <alignment horizontal="center" vertical="center" wrapText="1"/>
    </xf>
    <xf numFmtId="4" fontId="20" fillId="2" borderId="17" xfId="0" applyNumberFormat="1" applyFont="1" applyFill="1" applyBorder="1" applyAlignment="1" applyProtection="1">
      <alignment horizontal="center" vertical="center" wrapText="1"/>
      <protection hidden="1"/>
    </xf>
    <xf numFmtId="4" fontId="20" fillId="2" borderId="18" xfId="0" applyNumberFormat="1" applyFont="1" applyFill="1" applyBorder="1" applyAlignment="1" applyProtection="1">
      <alignment horizontal="center" vertical="center" wrapText="1"/>
      <protection hidden="1"/>
    </xf>
    <xf numFmtId="4" fontId="7" fillId="2" borderId="88"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90"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92"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5" fillId="2" borderId="94"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0" fillId="2" borderId="95"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7" xfId="0" applyNumberFormat="1" applyFont="1" applyBorder="1" applyAlignment="1" applyProtection="1">
      <alignment horizontal="center" vertical="center" wrapText="1"/>
      <protection locked="0"/>
    </xf>
    <xf numFmtId="2" fontId="10" fillId="0" borderId="9" xfId="0" applyNumberFormat="1" applyFont="1" applyBorder="1" applyAlignment="1" applyProtection="1">
      <alignment horizontal="center" vertical="center" wrapText="1"/>
      <protection locked="0"/>
    </xf>
    <xf numFmtId="2" fontId="10" fillId="2" borderId="57" xfId="0" applyNumberFormat="1" applyFont="1" applyFill="1" applyBorder="1" applyAlignment="1">
      <alignment horizontal="center" vertical="center" wrapText="1"/>
    </xf>
    <xf numFmtId="2" fontId="10" fillId="3" borderId="98" xfId="0" applyNumberFormat="1" applyFont="1" applyFill="1" applyBorder="1" applyAlignment="1" applyProtection="1">
      <alignment horizontal="center" vertical="center" wrapText="1"/>
      <protection locked="0"/>
    </xf>
    <xf numFmtId="2" fontId="10" fillId="3" borderId="31" xfId="0" applyNumberFormat="1" applyFont="1" applyFill="1" applyBorder="1" applyAlignment="1" applyProtection="1">
      <alignment horizontal="center" vertical="center" wrapText="1"/>
      <protection locked="0"/>
    </xf>
    <xf numFmtId="2" fontId="10" fillId="0" borderId="51" xfId="0" applyNumberFormat="1" applyFont="1" applyBorder="1" applyAlignment="1" applyProtection="1">
      <alignment horizontal="center" vertical="center" wrapText="1"/>
      <protection locked="0"/>
    </xf>
    <xf numFmtId="0" fontId="10" fillId="2" borderId="85" xfId="0" applyFont="1" applyFill="1" applyBorder="1" applyAlignment="1">
      <alignment horizontal="center" vertical="center"/>
    </xf>
    <xf numFmtId="2" fontId="10" fillId="2" borderId="99"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2" fontId="10" fillId="0" borderId="59" xfId="0" applyNumberFormat="1" applyFont="1" applyBorder="1" applyAlignment="1" applyProtection="1">
      <alignment horizontal="center" vertical="center" wrapText="1"/>
      <protection locked="0"/>
    </xf>
    <xf numFmtId="2" fontId="10" fillId="3" borderId="102" xfId="0" applyNumberFormat="1" applyFont="1" applyFill="1" applyBorder="1" applyAlignment="1" applyProtection="1">
      <alignment horizontal="center" vertical="center" wrapText="1"/>
      <protection locked="0"/>
    </xf>
    <xf numFmtId="2" fontId="10" fillId="3" borderId="103" xfId="0" applyNumberFormat="1" applyFont="1" applyFill="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0" fontId="10" fillId="2" borderId="52" xfId="0" applyFont="1" applyFill="1" applyBorder="1" applyAlignment="1">
      <alignment horizontal="center" vertical="center"/>
    </xf>
    <xf numFmtId="0" fontId="10" fillId="2" borderId="52" xfId="0" applyFont="1" applyFill="1" applyBorder="1" applyAlignment="1">
      <alignment horizontal="left"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2" fontId="10" fillId="0" borderId="98" xfId="0" applyNumberFormat="1" applyFont="1" applyBorder="1" applyAlignment="1" applyProtection="1">
      <alignment horizontal="center" vertical="center" wrapText="1"/>
      <protection locked="0"/>
    </xf>
    <xf numFmtId="2" fontId="10" fillId="0" borderId="31" xfId="0" applyNumberFormat="1" applyFont="1" applyBorder="1" applyAlignment="1" applyProtection="1">
      <alignment horizontal="center" vertical="center" wrapText="1"/>
      <protection locked="0"/>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2" fontId="10" fillId="0" borderId="102" xfId="0" applyNumberFormat="1" applyFont="1" applyBorder="1" applyAlignment="1" applyProtection="1">
      <alignment horizontal="center" vertical="center" wrapText="1"/>
      <protection locked="0"/>
    </xf>
    <xf numFmtId="2" fontId="10" fillId="0" borderId="103" xfId="0" applyNumberFormat="1" applyFont="1" applyBorder="1" applyAlignment="1" applyProtection="1">
      <alignment horizontal="center" vertical="center" wrapText="1"/>
      <protection locked="0"/>
    </xf>
    <xf numFmtId="2" fontId="10" fillId="2" borderId="61" xfId="0" applyNumberFormat="1"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10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5" xfId="0" applyNumberFormat="1" applyFont="1" applyBorder="1" applyAlignment="1" applyProtection="1">
      <alignment horizontal="center" vertical="center" wrapText="1"/>
      <protection locked="0"/>
    </xf>
    <xf numFmtId="2" fontId="10" fillId="0" borderId="108" xfId="0" applyNumberFormat="1" applyFont="1" applyBorder="1" applyAlignment="1" applyProtection="1">
      <alignment horizontal="center" vertical="center" wrapText="1"/>
      <protection locked="0"/>
    </xf>
    <xf numFmtId="2" fontId="10" fillId="0" borderId="15" xfId="0" applyNumberFormat="1" applyFont="1" applyBorder="1" applyAlignment="1" applyProtection="1">
      <alignment horizontal="center" vertical="center" wrapText="1"/>
      <protection locked="0"/>
    </xf>
    <xf numFmtId="2" fontId="10" fillId="0" borderId="41" xfId="0" applyNumberFormat="1" applyFont="1" applyBorder="1" applyAlignment="1" applyProtection="1">
      <alignment horizontal="center" vertical="center" wrapText="1"/>
      <protection locked="0"/>
    </xf>
    <xf numFmtId="4" fontId="10" fillId="2" borderId="30" xfId="0" applyNumberFormat="1" applyFont="1" applyFill="1" applyBorder="1" applyAlignment="1">
      <alignment horizontal="left" wrapText="1"/>
    </xf>
    <xf numFmtId="2" fontId="10" fillId="0" borderId="109" xfId="0" applyNumberFormat="1" applyFont="1" applyBorder="1" applyAlignment="1" applyProtection="1">
      <alignment horizontal="center" vertical="center" wrapText="1"/>
      <protection locked="0"/>
    </xf>
    <xf numFmtId="2" fontId="10" fillId="0" borderId="110"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3" borderId="111" xfId="0" applyNumberFormat="1" applyFont="1" applyFill="1" applyBorder="1" applyAlignment="1" applyProtection="1">
      <alignment horizontal="center" vertical="center" wrapText="1"/>
      <protection locked="0"/>
    </xf>
    <xf numFmtId="2" fontId="10" fillId="3" borderId="24" xfId="0" applyNumberFormat="1" applyFont="1" applyFill="1" applyBorder="1" applyAlignment="1" applyProtection="1">
      <alignment horizontal="center" vertical="center" wrapText="1"/>
      <protection locked="0"/>
    </xf>
    <xf numFmtId="2" fontId="10" fillId="0" borderId="57"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15" xfId="0" applyNumberFormat="1" applyFont="1" applyFill="1" applyBorder="1" applyAlignment="1" applyProtection="1">
      <alignment horizontal="center" vertical="center" wrapText="1"/>
      <protection locked="0"/>
    </xf>
    <xf numFmtId="0" fontId="10" fillId="2" borderId="64" xfId="0" applyFont="1" applyFill="1" applyBorder="1" applyAlignment="1">
      <alignment horizontal="center" vertical="center"/>
    </xf>
    <xf numFmtId="0" fontId="10" fillId="2" borderId="64" xfId="0" applyFont="1" applyFill="1" applyBorder="1" applyAlignment="1">
      <alignment horizontal="left" vertical="center" wrapText="1"/>
    </xf>
    <xf numFmtId="2" fontId="10" fillId="2" borderId="112" xfId="0" applyNumberFormat="1" applyFont="1" applyFill="1" applyBorder="1" applyAlignment="1">
      <alignment horizontal="center" vertical="center" wrapText="1"/>
    </xf>
    <xf numFmtId="2" fontId="10" fillId="2" borderId="63" xfId="0" applyNumberFormat="1" applyFont="1" applyFill="1" applyBorder="1" applyAlignment="1">
      <alignment horizontal="center" vertical="center" wrapText="1"/>
    </xf>
    <xf numFmtId="2" fontId="10" fillId="0" borderId="113" xfId="0" applyNumberFormat="1" applyFont="1" applyBorder="1" applyAlignment="1" applyProtection="1">
      <alignment horizontal="center" vertical="center" wrapText="1"/>
      <protection locked="0"/>
    </xf>
    <xf numFmtId="2" fontId="10" fillId="0" borderId="114" xfId="0" applyNumberFormat="1" applyFont="1" applyBorder="1" applyAlignment="1" applyProtection="1">
      <alignment horizontal="center" vertical="center" wrapText="1"/>
      <protection locked="0"/>
    </xf>
    <xf numFmtId="2" fontId="10" fillId="0" borderId="63" xfId="0" applyNumberFormat="1" applyFont="1" applyBorder="1" applyAlignment="1" applyProtection="1">
      <alignment horizontal="center" vertical="center" wrapText="1"/>
      <protection locked="0"/>
    </xf>
    <xf numFmtId="2" fontId="10" fillId="3" borderId="115" xfId="0" applyNumberFormat="1" applyFont="1" applyFill="1" applyBorder="1" applyAlignment="1" applyProtection="1">
      <alignment horizontal="center" vertical="center" wrapText="1"/>
      <protection locked="0"/>
    </xf>
    <xf numFmtId="2" fontId="10" fillId="3" borderId="42" xfId="0" applyNumberFormat="1" applyFont="1" applyFill="1" applyBorder="1" applyAlignment="1" applyProtection="1">
      <alignment horizontal="center" vertical="center" wrapText="1"/>
      <protection locked="0"/>
    </xf>
    <xf numFmtId="2" fontId="10" fillId="0" borderId="67" xfId="0" applyNumberFormat="1" applyFont="1" applyBorder="1" applyAlignment="1" applyProtection="1">
      <alignment horizontal="center" vertical="center" wrapText="1"/>
      <protection locked="0"/>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7" xfId="0" applyNumberFormat="1" applyFont="1" applyFill="1" applyBorder="1" applyAlignment="1">
      <alignment horizontal="left" vertical="center" wrapText="1"/>
    </xf>
    <xf numFmtId="166"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4" fontId="15" fillId="2" borderId="122" xfId="0" applyNumberFormat="1" applyFont="1" applyFill="1" applyBorder="1" applyAlignment="1">
      <alignment horizontal="center" vertical="center"/>
    </xf>
    <xf numFmtId="4" fontId="15" fillId="2" borderId="123" xfId="0" applyNumberFormat="1" applyFont="1" applyFill="1" applyBorder="1" applyAlignment="1">
      <alignment horizontal="center" vertical="center"/>
    </xf>
    <xf numFmtId="4" fontId="15" fillId="2" borderId="124"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20" fillId="2" borderId="125" xfId="0" applyNumberFormat="1" applyFont="1" applyFill="1" applyBorder="1" applyAlignment="1">
      <alignment horizontal="center" vertical="center"/>
    </xf>
    <xf numFmtId="4" fontId="20" fillId="2" borderId="126" xfId="0" applyNumberFormat="1" applyFont="1" applyFill="1" applyBorder="1" applyAlignment="1">
      <alignment horizontal="right"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6" fontId="15" fillId="0" borderId="52" xfId="0" applyNumberFormat="1" applyFont="1" applyBorder="1" applyAlignment="1" applyProtection="1">
      <alignment horizontal="center" vertical="center" wrapText="1"/>
      <protection locked="0"/>
    </xf>
    <xf numFmtId="167" fontId="15" fillId="2" borderId="54" xfId="0" applyNumberFormat="1" applyFont="1" applyFill="1" applyBorder="1" applyAlignment="1">
      <alignment horizontal="center" vertical="center" wrapText="1"/>
    </xf>
    <xf numFmtId="167" fontId="15" fillId="2" borderId="21" xfId="0" applyNumberFormat="1" applyFont="1" applyFill="1" applyBorder="1" applyAlignment="1">
      <alignment horizontal="center" vertical="center" wrapText="1"/>
    </xf>
    <xf numFmtId="4" fontId="10" fillId="2" borderId="60" xfId="0" applyNumberFormat="1" applyFont="1" applyFill="1" applyBorder="1" applyAlignment="1">
      <alignment horizontal="center" vertical="center" wrapText="1"/>
    </xf>
    <xf numFmtId="4" fontId="20" fillId="2" borderId="15" xfId="0" applyNumberFormat="1" applyFont="1" applyFill="1" applyBorder="1" applyAlignment="1" applyProtection="1">
      <alignment horizontal="center" vertical="center" wrapText="1"/>
      <protection hidden="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126"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0" borderId="0" xfId="1" applyFont="1"/>
    <xf numFmtId="4" fontId="0" fillId="0" borderId="0" xfId="1" applyNumberFormat="1" applyFont="1"/>
    <xf numFmtId="0" fontId="0" fillId="0" borderId="4" xfId="4" applyFont="1" applyBorder="1"/>
    <xf numFmtId="4" fontId="0" fillId="0" borderId="4" xfId="4" applyNumberFormat="1" applyFon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4" fontId="18" fillId="2" borderId="46" xfId="4" applyNumberFormat="1" applyFont="1" applyFill="1" applyBorder="1" applyAlignment="1">
      <alignment horizontal="center" vertical="center"/>
    </xf>
    <xf numFmtId="0" fontId="6" fillId="2" borderId="47"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6" fillId="2" borderId="27"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0" fontId="6" fillId="2" borderId="23" xfId="4" applyFont="1" applyFill="1" applyBorder="1" applyAlignment="1" applyProtection="1">
      <alignment horizontal="left" vertical="center" wrapText="1"/>
    </xf>
    <xf numFmtId="4" fontId="6" fillId="2" borderId="23" xfId="4" applyNumberFormat="1"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4" fontId="18" fillId="0" borderId="46"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4" fontId="20" fillId="2" borderId="128" xfId="0" applyNumberFormat="1" applyFont="1" applyFill="1" applyBorder="1" applyAlignment="1">
      <alignment horizontal="center" vertical="center" wrapText="1"/>
    </xf>
    <xf numFmtId="0" fontId="15" fillId="2" borderId="43" xfId="0" applyFont="1" applyFill="1" applyBorder="1" applyAlignment="1">
      <alignment horizontal="center" vertical="center"/>
    </xf>
    <xf numFmtId="4" fontId="15" fillId="2" borderId="4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wrapText="1"/>
    </xf>
    <xf numFmtId="4" fontId="15" fillId="2" borderId="116"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0" fontId="15" fillId="2" borderId="23" xfId="0"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5" fillId="2" borderId="51"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6"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5" fillId="2" borderId="61" xfId="0" applyNumberFormat="1" applyFont="1" applyFill="1" applyBorder="1" applyAlignment="1">
      <alignment horizontal="center" vertical="center"/>
    </xf>
    <xf numFmtId="0" fontId="20" fillId="2" borderId="6" xfId="0" applyFont="1" applyFill="1" applyBorder="1" applyAlignment="1">
      <alignment horizontal="right"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6" xfId="0" applyFont="1" applyBorder="1" applyAlignment="1" applyProtection="1">
      <alignment horizontal="right" wrapText="1"/>
      <protection locked="0"/>
    </xf>
    <xf numFmtId="0" fontId="20" fillId="2" borderId="59" xfId="0" applyFont="1" applyFill="1" applyBorder="1" applyAlignment="1">
      <alignment horizontal="center" vertical="center"/>
    </xf>
    <xf numFmtId="0" fontId="20" fillId="0" borderId="59" xfId="0" applyFont="1" applyBorder="1" applyAlignment="1" applyProtection="1">
      <alignment horizontal="right" wrapText="1"/>
      <protection locked="0"/>
    </xf>
    <xf numFmtId="4" fontId="15" fillId="2" borderId="85"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xf>
    <xf numFmtId="4" fontId="10" fillId="2" borderId="129" xfId="0" applyNumberFormat="1" applyFont="1" applyFill="1" applyBorder="1" applyAlignment="1">
      <alignment horizontal="center" vertical="center"/>
    </xf>
    <xf numFmtId="4" fontId="10" fillId="2" borderId="130"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4" fontId="15" fillId="2" borderId="104"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0" borderId="50" xfId="0" applyNumberFormat="1" applyFont="1" applyBorder="1" applyAlignment="1" applyProtection="1">
      <alignment horizontal="center" vertical="center" wrapText="1"/>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0" xfId="0" applyNumberFormat="1" applyFont="1" applyBorder="1" applyAlignment="1" applyProtection="1">
      <alignment horizontal="center" vertical="center"/>
      <protection locked="0"/>
    </xf>
    <xf numFmtId="4" fontId="10" fillId="0" borderId="9"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lignment horizontal="center" vertical="center"/>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60" xfId="0" applyNumberFormat="1" applyFont="1" applyBorder="1" applyAlignment="1" applyProtection="1">
      <alignment horizontal="center" vertical="center"/>
      <protection locked="0"/>
    </xf>
    <xf numFmtId="4" fontId="10" fillId="0" borderId="7"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29" xfId="0" applyNumberFormat="1" applyFont="1" applyBorder="1" applyAlignment="1" applyProtection="1">
      <alignment horizontal="center" vertical="center"/>
      <protection locked="0"/>
    </xf>
    <xf numFmtId="4" fontId="10" fillId="0" borderId="130" xfId="0" applyNumberFormat="1" applyFont="1" applyBorder="1" applyAlignment="1" applyProtection="1">
      <alignment horizontal="center" vertical="center"/>
      <protection locked="0"/>
    </xf>
    <xf numFmtId="4" fontId="10" fillId="0" borderId="131" xfId="0" applyNumberFormat="1" applyFont="1" applyBorder="1" applyAlignment="1" applyProtection="1">
      <alignment horizontal="center" vertical="center"/>
      <protection locked="0"/>
    </xf>
    <xf numFmtId="4" fontId="10" fillId="0" borderId="59" xfId="0" applyNumberFormat="1" applyFont="1" applyBorder="1" applyAlignment="1" applyProtection="1">
      <alignment horizontal="center" vertical="center"/>
      <protection locked="0"/>
    </xf>
    <xf numFmtId="4" fontId="10" fillId="0" borderId="103" xfId="0" applyNumberFormat="1" applyFont="1" applyBorder="1" applyAlignment="1" applyProtection="1">
      <alignment horizontal="center" vertical="center"/>
      <protection locked="0"/>
    </xf>
    <xf numFmtId="4" fontId="15" fillId="0" borderId="59" xfId="0" applyNumberFormat="1" applyFont="1" applyBorder="1" applyAlignment="1" applyProtection="1">
      <alignment horizontal="center" vertical="center" wrapText="1"/>
      <protection locked="0"/>
    </xf>
    <xf numFmtId="4" fontId="11" fillId="0" borderId="0" xfId="0" applyNumberFormat="1" applyFont="1"/>
    <xf numFmtId="4" fontId="10" fillId="2" borderId="50" xfId="0" applyNumberFormat="1" applyFont="1" applyFill="1" applyBorder="1" applyAlignment="1">
      <alignment horizontal="center" vertical="center" wrapText="1"/>
    </xf>
    <xf numFmtId="4" fontId="10" fillId="2" borderId="51"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10" fillId="2" borderId="125" xfId="0" applyNumberFormat="1" applyFont="1" applyFill="1" applyBorder="1" applyAlignment="1">
      <alignment horizontal="center" vertical="center" wrapText="1"/>
    </xf>
    <xf numFmtId="4" fontId="10" fillId="2" borderId="129" xfId="0" applyNumberFormat="1" applyFont="1" applyFill="1" applyBorder="1" applyAlignment="1">
      <alignment horizontal="center" vertical="center" wrapText="1"/>
    </xf>
    <xf numFmtId="4" fontId="10" fillId="2" borderId="130" xfId="0" applyNumberFormat="1" applyFont="1" applyFill="1" applyBorder="1" applyAlignment="1">
      <alignment horizontal="center" vertical="center" wrapText="1"/>
    </xf>
    <xf numFmtId="4" fontId="10" fillId="2" borderId="131"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104"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20" fillId="2" borderId="132"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0"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2" fontId="15" fillId="2" borderId="51" xfId="0" applyNumberFormat="1" applyFont="1" applyFill="1" applyBorder="1" applyAlignment="1">
      <alignment horizontal="center" vertical="center"/>
    </xf>
    <xf numFmtId="2" fontId="10" fillId="0" borderId="31"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3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60"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0" fontId="10" fillId="2" borderId="76" xfId="0" applyFont="1" applyFill="1" applyBorder="1" applyAlignment="1">
      <alignment horizontal="center" vertical="center"/>
    </xf>
    <xf numFmtId="0" fontId="10" fillId="2" borderId="77" xfId="0" applyFont="1" applyFill="1" applyBorder="1" applyAlignment="1">
      <alignment horizontal="left" vertical="center" wrapText="1"/>
    </xf>
    <xf numFmtId="2" fontId="15" fillId="2" borderId="76" xfId="0" applyNumberFormat="1" applyFont="1" applyFill="1" applyBorder="1" applyAlignment="1">
      <alignment horizontal="center" vertical="center" wrapText="1"/>
    </xf>
    <xf numFmtId="2" fontId="15" fillId="2" borderId="77"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0" fillId="0" borderId="79" xfId="0" applyNumberFormat="1" applyFont="1" applyBorder="1" applyAlignment="1" applyProtection="1">
      <alignment horizontal="center" vertical="center"/>
      <protection locked="0"/>
    </xf>
    <xf numFmtId="2" fontId="10" fillId="0" borderId="133"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0" fillId="0" borderId="80" xfId="0" applyNumberFormat="1" applyFont="1" applyBorder="1" applyAlignment="1" applyProtection="1">
      <alignment horizontal="center" vertical="center"/>
      <protection locked="0"/>
    </xf>
    <xf numFmtId="2" fontId="15" fillId="2" borderId="44"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6" xfId="0" applyNumberFormat="1" applyFont="1" applyFill="1" applyBorder="1" applyAlignment="1">
      <alignment horizontal="center" vertical="center" wrapText="1"/>
    </xf>
    <xf numFmtId="2" fontId="15" fillId="2" borderId="116"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5" fillId="2" borderId="51" xfId="0" applyNumberFormat="1" applyFont="1" applyFill="1" applyBorder="1" applyAlignment="1">
      <alignment horizontal="center" vertical="center" wrapText="1"/>
    </xf>
    <xf numFmtId="2" fontId="15" fillId="2" borderId="31"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wrapText="1"/>
      <protection locked="0"/>
    </xf>
    <xf numFmtId="2" fontId="10" fillId="2" borderId="9"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xf>
    <xf numFmtId="2" fontId="15" fillId="2" borderId="23" xfId="0" applyNumberFormat="1" applyFont="1" applyFill="1" applyBorder="1" applyAlignment="1">
      <alignment horizontal="center" vertical="center"/>
    </xf>
    <xf numFmtId="2" fontId="15" fillId="2" borderId="56" xfId="0" applyNumberFormat="1" applyFont="1" applyFill="1" applyBorder="1" applyAlignment="1">
      <alignment horizontal="center" vertical="center"/>
    </xf>
    <xf numFmtId="2" fontId="15" fillId="2" borderId="57"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wrapText="1"/>
      <protection locked="0"/>
    </xf>
    <xf numFmtId="2" fontId="15" fillId="2" borderId="23" xfId="0" applyNumberFormat="1" applyFont="1" applyFill="1" applyBorder="1" applyAlignment="1">
      <alignment horizontal="center" vertical="center" wrapText="1"/>
    </xf>
    <xf numFmtId="2" fontId="15" fillId="2" borderId="134" xfId="0" applyNumberFormat="1" applyFont="1" applyFill="1" applyBorder="1" applyAlignment="1">
      <alignment horizontal="center" vertical="center" wrapText="1"/>
    </xf>
    <xf numFmtId="2" fontId="15" fillId="2" borderId="5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24"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39" xfId="0" applyNumberFormat="1" applyFont="1" applyBorder="1" applyAlignment="1" applyProtection="1">
      <alignment horizontal="center" vertical="center"/>
      <protection locked="0"/>
    </xf>
    <xf numFmtId="2" fontId="10" fillId="0" borderId="34"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10"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32" xfId="0" applyNumberFormat="1" applyFont="1" applyFill="1" applyBorder="1" applyAlignment="1">
      <alignment horizontal="center" vertical="center"/>
    </xf>
    <xf numFmtId="2" fontId="15" fillId="2" borderId="41"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0" fillId="0" borderId="0" xfId="1" applyFont="1" applyProtection="1"/>
    <xf numFmtId="0" fontId="51" fillId="0" borderId="0" xfId="1" applyFill="1" applyProtection="1"/>
    <xf numFmtId="0" fontId="51" fillId="0" borderId="0" xfId="1" applyProtection="1"/>
    <xf numFmtId="0" fontId="0" fillId="0" borderId="4" xfId="5" applyFont="1" applyBorder="1" applyProtection="1"/>
    <xf numFmtId="0" fontId="51" fillId="0" borderId="4" xfId="5" applyFill="1" applyBorder="1" applyProtection="1"/>
    <xf numFmtId="0" fontId="51" fillId="0" borderId="4" xfId="5" applyBorder="1" applyProtection="1"/>
    <xf numFmtId="0" fontId="15" fillId="2" borderId="5" xfId="5"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8" fontId="15" fillId="2" borderId="5" xfId="5" applyNumberFormat="1" applyFont="1" applyFill="1" applyBorder="1" applyAlignment="1" applyProtection="1">
      <alignment horizontal="center" vertical="center" wrapText="1"/>
    </xf>
    <xf numFmtId="3" fontId="15" fillId="2" borderId="88" xfId="5" applyNumberFormat="1" applyFont="1" applyFill="1" applyBorder="1" applyAlignment="1" applyProtection="1">
      <alignment horizontal="center" vertical="center" wrapText="1"/>
    </xf>
    <xf numFmtId="3" fontId="15" fillId="2" borderId="41"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0" fontId="15" fillId="2" borderId="52"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5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9" fontId="15" fillId="2" borderId="9" xfId="5" applyNumberFormat="1" applyFont="1" applyFill="1" applyBorder="1" applyAlignment="1" applyProtection="1">
      <alignment horizontal="center" vertical="center"/>
    </xf>
    <xf numFmtId="4" fontId="15" fillId="2" borderId="57"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57"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9" fontId="10" fillId="0" borderId="6" xfId="5" applyNumberFormat="1" applyFont="1" applyBorder="1" applyAlignment="1" applyProtection="1">
      <alignment horizontal="center" vertical="center"/>
      <protection locked="0"/>
    </xf>
    <xf numFmtId="0" fontId="20" fillId="2" borderId="127" xfId="5" applyFont="1" applyFill="1" applyBorder="1" applyAlignment="1" applyProtection="1">
      <alignment horizontal="right" vertical="center"/>
    </xf>
    <xf numFmtId="169" fontId="10" fillId="0" borderId="10" xfId="5" applyNumberFormat="1" applyFont="1" applyBorder="1" applyAlignment="1" applyProtection="1">
      <alignment horizontal="center" vertical="center"/>
      <protection locked="0"/>
    </xf>
    <xf numFmtId="4" fontId="15" fillId="2" borderId="127" xfId="5" applyNumberFormat="1" applyFont="1" applyFill="1" applyBorder="1" applyAlignment="1" applyProtection="1">
      <alignment horizontal="center" vertical="center"/>
    </xf>
    <xf numFmtId="0" fontId="21" fillId="2" borderId="57"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57" xfId="5" applyNumberFormat="1" applyFont="1" applyBorder="1" applyAlignment="1" applyProtection="1">
      <alignment horizontal="center" vertical="center"/>
      <protection locked="0"/>
    </xf>
    <xf numFmtId="4" fontId="10" fillId="2" borderId="57"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7" xfId="5" applyNumberFormat="1" applyFont="1" applyFill="1" applyBorder="1" applyAlignment="1" applyProtection="1">
      <alignment horizontal="center" vertical="center"/>
      <protection locked="0"/>
    </xf>
    <xf numFmtId="0" fontId="15" fillId="2" borderId="87" xfId="5" applyFont="1" applyFill="1" applyBorder="1" applyAlignment="1" applyProtection="1">
      <alignment horizontal="center" vertical="center"/>
    </xf>
    <xf numFmtId="169" fontId="15" fillId="2" borderId="88"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9" fontId="15" fillId="2" borderId="53" xfId="5" applyNumberFormat="1" applyFont="1" applyFill="1" applyBorder="1" applyAlignment="1" applyProtection="1">
      <alignment horizontal="center" vertical="center"/>
    </xf>
    <xf numFmtId="0" fontId="21" fillId="2" borderId="134" xfId="5" applyFont="1" applyFill="1" applyBorder="1" applyAlignment="1" applyProtection="1">
      <alignment horizontal="right" vertical="center"/>
    </xf>
    <xf numFmtId="4" fontId="21" fillId="2" borderId="57"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83" xfId="5" applyFont="1" applyFill="1" applyBorder="1" applyAlignment="1" applyProtection="1">
      <alignment horizontal="right" vertical="center"/>
    </xf>
    <xf numFmtId="4" fontId="10" fillId="2" borderId="59"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9" fontId="21" fillId="2" borderId="57" xfId="5" applyNumberFormat="1" applyFont="1" applyFill="1" applyBorder="1" applyAlignment="1" applyProtection="1">
      <alignment horizontal="center" vertical="center"/>
    </xf>
    <xf numFmtId="0" fontId="15" fillId="2" borderId="137" xfId="5" applyFont="1" applyFill="1" applyBorder="1" applyAlignment="1" applyProtection="1">
      <alignment horizontal="center" vertical="center"/>
    </xf>
    <xf numFmtId="4" fontId="15" fillId="2" borderId="41"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88" xfId="5" applyNumberFormat="1" applyFont="1" applyBorder="1" applyAlignment="1" applyProtection="1">
      <alignment horizontal="center" vertical="center"/>
      <protection locked="0"/>
    </xf>
    <xf numFmtId="0" fontId="15" fillId="2" borderId="137" xfId="5" applyFont="1" applyFill="1" applyBorder="1" applyAlignment="1" applyProtection="1">
      <alignment horizontal="center" vertical="center" wrapText="1"/>
    </xf>
    <xf numFmtId="4" fontId="15" fillId="0" borderId="41" xfId="5" applyNumberFormat="1" applyFont="1" applyBorder="1" applyAlignment="1" applyProtection="1">
      <alignment horizontal="center" vertical="center"/>
      <protection locked="0"/>
    </xf>
    <xf numFmtId="0" fontId="15" fillId="2" borderId="125" xfId="5" applyFont="1" applyFill="1" applyBorder="1" applyAlignment="1" applyProtection="1">
      <alignment horizontal="center" vertical="center"/>
    </xf>
    <xf numFmtId="0" fontId="15" fillId="2" borderId="138" xfId="5" applyFont="1" applyFill="1" applyBorder="1" applyAlignment="1" applyProtection="1">
      <alignment horizontal="center" vertical="center"/>
    </xf>
    <xf numFmtId="169" fontId="15" fillId="0" borderId="139"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9" xfId="5" applyNumberFormat="1" applyFont="1" applyFill="1" applyBorder="1" applyAlignment="1" applyProtection="1">
      <alignment horizontal="center" vertical="center"/>
    </xf>
    <xf numFmtId="169" fontId="15" fillId="2" borderId="139"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137" xfId="5" applyNumberFormat="1" applyFont="1" applyFill="1" applyBorder="1" applyAlignment="1" applyProtection="1">
      <alignment horizontal="center" vertical="center"/>
    </xf>
    <xf numFmtId="4" fontId="24" fillId="2" borderId="41" xfId="5" applyNumberFormat="1" applyFont="1" applyFill="1" applyBorder="1" applyAlignment="1" applyProtection="1">
      <alignment horizontal="center" vertical="center"/>
    </xf>
    <xf numFmtId="167" fontId="15" fillId="2" borderId="5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61"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40"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1" fillId="0" borderId="0" xfId="5" applyFont="1" applyFill="1" applyProtection="1"/>
    <xf numFmtId="4" fontId="51" fillId="0" borderId="0" xfId="5" applyNumberFormat="1" applyProtection="1"/>
    <xf numFmtId="0" fontId="51" fillId="0" borderId="0" xfId="1"/>
    <xf numFmtId="0" fontId="51" fillId="0" borderId="4" xfId="6" applyBorder="1"/>
    <xf numFmtId="0" fontId="15" fillId="2" borderId="5" xfId="6" applyFont="1" applyFill="1" applyBorder="1" applyAlignment="1">
      <alignment horizontal="center" vertical="center"/>
    </xf>
    <xf numFmtId="168"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51" fillId="0" borderId="0" xfId="6" applyAlignment="1">
      <alignment wrapText="1"/>
    </xf>
    <xf numFmtId="0" fontId="15" fillId="2" borderId="5" xfId="6" applyFont="1" applyFill="1" applyBorder="1" applyAlignment="1" applyProtection="1">
      <alignment horizontal="center" vertical="center"/>
    </xf>
    <xf numFmtId="168"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xf>
    <xf numFmtId="4" fontId="15" fillId="2" borderId="5" xfId="6" applyNumberFormat="1" applyFont="1" applyFill="1" applyBorder="1" applyAlignment="1" applyProtection="1">
      <alignment horizontal="center" vertical="center"/>
    </xf>
    <xf numFmtId="0" fontId="15" fillId="2" borderId="59" xfId="6" applyFont="1" applyFill="1" applyBorder="1" applyAlignment="1">
      <alignment horizontal="center" vertical="center"/>
    </xf>
    <xf numFmtId="4" fontId="15" fillId="2" borderId="59" xfId="6" applyNumberFormat="1" applyFont="1" applyFill="1" applyBorder="1" applyAlignment="1" applyProtection="1">
      <alignment horizontal="center" vertical="center"/>
    </xf>
    <xf numFmtId="3" fontId="15" fillId="2" borderId="59" xfId="6" applyNumberFormat="1" applyFont="1" applyFill="1" applyBorder="1" applyAlignment="1">
      <alignment horizontal="center" vertical="center"/>
    </xf>
    <xf numFmtId="0" fontId="23" fillId="0" borderId="0" xfId="6" applyFont="1" applyAlignment="1">
      <alignment wrapText="1"/>
    </xf>
    <xf numFmtId="0" fontId="15" fillId="2" borderId="87" xfId="6" applyFont="1" applyFill="1" applyBorder="1" applyAlignment="1">
      <alignment horizontal="center" vertical="center"/>
    </xf>
    <xf numFmtId="4" fontId="15" fillId="2" borderId="87" xfId="6" applyNumberFormat="1" applyFont="1" applyFill="1" applyBorder="1" applyAlignment="1" applyProtection="1">
      <alignment horizontal="center" vertical="center"/>
    </xf>
    <xf numFmtId="3" fontId="15" fillId="2" borderId="87"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pplyProtection="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51"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87" xfId="6" applyNumberFormat="1" applyFont="1" applyBorder="1" applyAlignment="1" applyProtection="1">
      <alignment horizontal="center" vertical="center"/>
      <protection locked="0"/>
    </xf>
    <xf numFmtId="0" fontId="15" fillId="2" borderId="137" xfId="6" applyFont="1" applyFill="1" applyBorder="1" applyAlignment="1">
      <alignment horizontal="center" vertical="center"/>
    </xf>
    <xf numFmtId="3" fontId="15" fillId="2" borderId="137" xfId="6" applyNumberFormat="1" applyFont="1" applyFill="1" applyBorder="1" applyAlignment="1">
      <alignment horizontal="center" vertical="center"/>
    </xf>
    <xf numFmtId="3" fontId="15" fillId="2" borderId="41" xfId="6" applyNumberFormat="1" applyFont="1" applyFill="1" applyBorder="1" applyAlignment="1">
      <alignment horizontal="center" vertical="center"/>
    </xf>
    <xf numFmtId="0" fontId="15" fillId="2" borderId="9" xfId="6"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3" fontId="21" fillId="2" borderId="10"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0" fontId="15" fillId="2" borderId="8" xfId="6" applyFont="1" applyFill="1" applyBorder="1" applyAlignment="1">
      <alignment horizontal="right" vertical="center" wrapText="1"/>
    </xf>
    <xf numFmtId="0" fontId="15" fillId="2" borderId="87" xfId="6" applyFont="1" applyFill="1" applyBorder="1" applyAlignment="1">
      <alignment horizontal="center" vertical="center" wrapText="1"/>
    </xf>
    <xf numFmtId="3" fontId="21" fillId="2" borderId="87" xfId="6" applyNumberFormat="1" applyFont="1" applyFill="1" applyBorder="1" applyAlignment="1">
      <alignment horizontal="center" vertical="center" wrapText="1"/>
    </xf>
    <xf numFmtId="0" fontId="15" fillId="2" borderId="125" xfId="6" applyFont="1" applyFill="1" applyBorder="1" applyAlignment="1">
      <alignment horizontal="center" vertical="center"/>
    </xf>
    <xf numFmtId="0" fontId="15" fillId="2" borderId="125" xfId="6" applyFont="1" applyFill="1" applyBorder="1" applyAlignment="1">
      <alignment horizontal="right" vertical="center" wrapText="1"/>
    </xf>
    <xf numFmtId="0" fontId="15" fillId="2" borderId="125" xfId="6" applyFont="1" applyFill="1" applyBorder="1" applyAlignment="1">
      <alignment horizontal="center" vertical="center" wrapText="1"/>
    </xf>
    <xf numFmtId="3" fontId="21" fillId="2" borderId="125"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0" fontId="1" fillId="0" borderId="0" xfId="6" applyFont="1"/>
    <xf numFmtId="4" fontId="51" fillId="0" borderId="0" xfId="6" applyNumberFormat="1"/>
    <xf numFmtId="0" fontId="5" fillId="0" borderId="0" xfId="0" applyFont="1" applyFill="1"/>
    <xf numFmtId="0" fontId="51" fillId="0" borderId="4" xfId="8" applyBorder="1"/>
    <xf numFmtId="0" fontId="15" fillId="2" borderId="5" xfId="8" applyFont="1" applyFill="1" applyBorder="1" applyAlignment="1">
      <alignment horizontal="center" vertical="center"/>
    </xf>
    <xf numFmtId="0" fontId="15" fillId="2" borderId="137" xfId="8" applyFont="1" applyFill="1" applyBorder="1" applyAlignment="1">
      <alignment horizontal="center" vertical="center"/>
    </xf>
    <xf numFmtId="168" fontId="15" fillId="2" borderId="14" xfId="8" applyNumberFormat="1" applyFont="1" applyFill="1" applyBorder="1" applyAlignment="1">
      <alignment horizontal="center" vertical="center" wrapText="1"/>
    </xf>
    <xf numFmtId="3" fontId="15" fillId="2" borderId="41" xfId="8" applyNumberFormat="1" applyFont="1" applyFill="1" applyBorder="1" applyAlignment="1">
      <alignment horizontal="center" vertical="center" wrapText="1"/>
    </xf>
    <xf numFmtId="0" fontId="26" fillId="0" borderId="0" xfId="8" applyFont="1" applyAlignment="1">
      <alignment horizontal="center" vertical="center"/>
    </xf>
    <xf numFmtId="0" fontId="51" fillId="0" borderId="0" xfId="8" applyAlignment="1">
      <alignment wrapText="1"/>
    </xf>
    <xf numFmtId="0" fontId="20" fillId="2" borderId="44" xfId="8" applyFont="1" applyFill="1" applyBorder="1" applyAlignment="1">
      <alignment horizontal="center" vertical="center"/>
    </xf>
    <xf numFmtId="0" fontId="15" fillId="2" borderId="141" xfId="8" applyFont="1" applyFill="1" applyBorder="1" applyAlignment="1">
      <alignment horizontal="center" vertical="center"/>
    </xf>
    <xf numFmtId="3" fontId="20" fillId="2" borderId="141" xfId="8" applyNumberFormat="1" applyFont="1" applyFill="1" applyBorder="1" applyAlignment="1">
      <alignment horizontal="center" vertical="center"/>
    </xf>
    <xf numFmtId="3" fontId="20" fillId="2" borderId="48" xfId="8" applyNumberFormat="1" applyFont="1" applyFill="1" applyBorder="1" applyAlignment="1">
      <alignment horizontal="center" vertical="center"/>
    </xf>
    <xf numFmtId="0" fontId="15" fillId="2" borderId="37" xfId="8" applyFont="1" applyFill="1" applyBorder="1" applyAlignment="1">
      <alignment horizontal="center" vertical="center"/>
    </xf>
    <xf numFmtId="0" fontId="15" fillId="2" borderId="50" xfId="8" applyFont="1" applyFill="1" applyBorder="1" applyAlignment="1">
      <alignment horizontal="center" vertical="center"/>
    </xf>
    <xf numFmtId="0" fontId="15" fillId="2" borderId="38" xfId="8" applyFont="1" applyFill="1" applyBorder="1" applyAlignment="1">
      <alignment horizontal="center" vertical="center"/>
    </xf>
    <xf numFmtId="168" fontId="15" fillId="0" borderId="51" xfId="9" applyNumberFormat="1" applyFont="1" applyBorder="1" applyAlignment="1" applyProtection="1">
      <alignment horizontal="center" vertical="center"/>
      <protection locked="0"/>
    </xf>
    <xf numFmtId="170" fontId="26" fillId="0" borderId="0" xfId="9" applyNumberFormat="1" applyFont="1" applyAlignment="1" applyProtection="1">
      <alignment horizontal="center" vertical="center"/>
    </xf>
    <xf numFmtId="0" fontId="15" fillId="2" borderId="25" xfId="8" applyFont="1" applyFill="1" applyBorder="1" applyAlignment="1">
      <alignment horizontal="center" vertical="center"/>
    </xf>
    <xf numFmtId="0" fontId="15" fillId="2" borderId="60" xfId="8" applyFont="1" applyFill="1" applyBorder="1" applyAlignment="1">
      <alignment horizontal="center" vertical="center"/>
    </xf>
    <xf numFmtId="0" fontId="15" fillId="2" borderId="26" xfId="8" applyFont="1" applyFill="1" applyBorder="1" applyAlignment="1">
      <alignment horizontal="center" vertical="center"/>
    </xf>
    <xf numFmtId="168" fontId="15" fillId="0" borderId="61" xfId="8" applyNumberFormat="1" applyFont="1" applyBorder="1" applyAlignment="1" applyProtection="1">
      <alignment horizontal="center" vertical="center"/>
      <protection locked="0"/>
    </xf>
    <xf numFmtId="0" fontId="15" fillId="2" borderId="19"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20" xfId="8" applyFont="1" applyFill="1" applyBorder="1" applyAlignment="1">
      <alignment horizontal="center" vertical="center"/>
    </xf>
    <xf numFmtId="168" fontId="15" fillId="0" borderId="53" xfId="8" applyNumberFormat="1" applyFont="1" applyBorder="1" applyAlignment="1" applyProtection="1">
      <alignment horizontal="center" vertical="center"/>
      <protection locked="0"/>
    </xf>
    <xf numFmtId="0" fontId="10" fillId="2" borderId="22" xfId="8" applyFont="1" applyFill="1" applyBorder="1" applyAlignment="1">
      <alignment horizontal="center" vertical="center"/>
    </xf>
    <xf numFmtId="0" fontId="10" fillId="2" borderId="56" xfId="8" applyFont="1" applyFill="1" applyBorder="1" applyAlignment="1">
      <alignment horizontal="right" vertical="center"/>
    </xf>
    <xf numFmtId="0" fontId="10" fillId="2" borderId="23" xfId="8" applyFont="1" applyFill="1" applyBorder="1" applyAlignment="1">
      <alignment horizontal="center" vertical="center"/>
    </xf>
    <xf numFmtId="168" fontId="10" fillId="0" borderId="57" xfId="8" applyNumberFormat="1" applyFont="1" applyBorder="1" applyAlignment="1" applyProtection="1">
      <alignment horizontal="right" vertical="center"/>
      <protection locked="0"/>
    </xf>
    <xf numFmtId="0" fontId="26" fillId="0" borderId="0" xfId="8" applyFont="1" applyAlignment="1">
      <alignment horizontal="right" vertical="center"/>
    </xf>
    <xf numFmtId="0" fontId="20" fillId="2" borderId="25" xfId="8" applyFont="1" applyFill="1" applyBorder="1" applyAlignment="1">
      <alignment horizontal="center" vertical="center"/>
    </xf>
    <xf numFmtId="0" fontId="20" fillId="2" borderId="60" xfId="8" applyFont="1" applyFill="1" applyBorder="1" applyAlignment="1">
      <alignment horizontal="right" vertical="center"/>
    </xf>
    <xf numFmtId="0" fontId="20" fillId="2" borderId="26" xfId="8" applyFont="1" applyFill="1" applyBorder="1" applyAlignment="1">
      <alignment horizontal="center" vertical="center"/>
    </xf>
    <xf numFmtId="168" fontId="20" fillId="0" borderId="61" xfId="8" applyNumberFormat="1" applyFont="1" applyBorder="1" applyAlignment="1" applyProtection="1">
      <alignment horizontal="right" vertical="center"/>
      <protection locked="0"/>
    </xf>
    <xf numFmtId="0" fontId="10" fillId="2" borderId="20" xfId="8" applyFont="1" applyFill="1" applyBorder="1" applyAlignment="1">
      <alignment horizontal="center" vertical="center"/>
    </xf>
    <xf numFmtId="168" fontId="15" fillId="2" borderId="53" xfId="8" applyNumberFormat="1" applyFont="1" applyFill="1" applyBorder="1" applyAlignment="1">
      <alignment horizontal="center" vertical="center"/>
    </xf>
    <xf numFmtId="0" fontId="15" fillId="2" borderId="22" xfId="8" applyFont="1" applyFill="1" applyBorder="1" applyAlignment="1">
      <alignment horizontal="center" vertical="center"/>
    </xf>
    <xf numFmtId="0" fontId="15" fillId="2" borderId="56" xfId="8" applyFont="1" applyFill="1" applyBorder="1" applyAlignment="1">
      <alignment horizontal="center" vertical="center"/>
    </xf>
    <xf numFmtId="0" fontId="15" fillId="2" borderId="23" xfId="8" applyFont="1" applyFill="1" applyBorder="1" applyAlignment="1">
      <alignment horizontal="center" vertical="center"/>
    </xf>
    <xf numFmtId="168" fontId="15" fillId="2" borderId="57" xfId="8" applyNumberFormat="1" applyFont="1" applyFill="1" applyBorder="1" applyAlignment="1">
      <alignment horizontal="center" vertical="center"/>
    </xf>
    <xf numFmtId="168" fontId="20" fillId="0" borderId="57" xfId="8" applyNumberFormat="1" applyFont="1" applyBorder="1" applyAlignment="1" applyProtection="1">
      <alignment horizontal="right" vertical="center"/>
      <protection locked="0"/>
    </xf>
    <xf numFmtId="0" fontId="26" fillId="0" borderId="0" xfId="8" applyFont="1" applyAlignment="1">
      <alignment vertical="center"/>
    </xf>
    <xf numFmtId="0" fontId="20" fillId="2" borderId="22" xfId="8" applyFont="1" applyFill="1" applyBorder="1" applyAlignment="1">
      <alignment horizontal="center" vertical="center"/>
    </xf>
    <xf numFmtId="0" fontId="20" fillId="2" borderId="56" xfId="8" applyFont="1" applyFill="1" applyBorder="1" applyAlignment="1">
      <alignment horizontal="right" vertical="center"/>
    </xf>
    <xf numFmtId="0" fontId="20" fillId="2" borderId="23" xfId="8" applyFont="1" applyFill="1" applyBorder="1" applyAlignment="1">
      <alignment horizontal="center" vertical="center"/>
    </xf>
    <xf numFmtId="168" fontId="26" fillId="0" borderId="0" xfId="8" applyNumberFormat="1" applyFont="1" applyAlignment="1">
      <alignment horizontal="center" vertical="center"/>
    </xf>
    <xf numFmtId="0" fontId="27" fillId="0" borderId="0" xfId="8" applyFont="1" applyAlignment="1">
      <alignment horizontal="right" vertical="center"/>
    </xf>
    <xf numFmtId="168" fontId="15" fillId="0" borderId="57" xfId="8" applyNumberFormat="1" applyFont="1" applyBorder="1" applyAlignment="1" applyProtection="1">
      <alignment horizontal="center" vertical="center"/>
      <protection locked="0"/>
    </xf>
    <xf numFmtId="0" fontId="15" fillId="2" borderId="13" xfId="8" applyFont="1" applyFill="1" applyBorder="1" applyAlignment="1">
      <alignment horizontal="center" vertical="center"/>
    </xf>
    <xf numFmtId="0" fontId="15" fillId="2" borderId="132" xfId="8" applyFont="1" applyFill="1" applyBorder="1" applyAlignment="1">
      <alignment horizontal="center" vertical="center"/>
    </xf>
    <xf numFmtId="0" fontId="15" fillId="2" borderId="14" xfId="8" applyFont="1" applyFill="1" applyBorder="1" applyAlignment="1">
      <alignment horizontal="center" vertical="center"/>
    </xf>
    <xf numFmtId="168" fontId="15" fillId="0" borderId="41" xfId="8" applyNumberFormat="1" applyFont="1" applyBorder="1" applyAlignment="1" applyProtection="1">
      <alignment horizontal="center" vertical="center"/>
      <protection locked="0"/>
    </xf>
    <xf numFmtId="0" fontId="51" fillId="0" borderId="0" xfId="8" applyAlignment="1">
      <alignment horizontal="center" vertical="center"/>
    </xf>
    <xf numFmtId="1" fontId="15" fillId="2" borderId="19" xfId="8" applyNumberFormat="1" applyFont="1" applyFill="1" applyBorder="1" applyAlignment="1">
      <alignment horizontal="center" vertical="center"/>
    </xf>
    <xf numFmtId="171" fontId="15" fillId="2" borderId="28" xfId="8" applyNumberFormat="1" applyFont="1" applyFill="1" applyBorder="1" applyAlignment="1">
      <alignment horizontal="center" vertical="center"/>
    </xf>
    <xf numFmtId="171" fontId="15" fillId="2" borderId="20" xfId="8" applyNumberFormat="1" applyFont="1" applyFill="1" applyBorder="1" applyAlignment="1">
      <alignment horizontal="center" vertical="center"/>
    </xf>
    <xf numFmtId="1" fontId="15" fillId="2" borderId="53" xfId="8" applyNumberFormat="1" applyFont="1" applyFill="1" applyBorder="1" applyAlignment="1">
      <alignment horizontal="center" vertical="center"/>
    </xf>
    <xf numFmtId="16" fontId="10" fillId="2" borderId="22" xfId="8" applyNumberFormat="1" applyFont="1" applyFill="1" applyBorder="1" applyAlignment="1">
      <alignment horizontal="center" vertical="center"/>
    </xf>
    <xf numFmtId="171" fontId="10" fillId="2" borderId="57" xfId="8" applyNumberFormat="1" applyFont="1" applyFill="1" applyBorder="1" applyAlignment="1">
      <alignment horizontal="center" vertical="center"/>
    </xf>
    <xf numFmtId="168" fontId="51" fillId="0" borderId="0" xfId="8" applyNumberFormat="1" applyAlignment="1">
      <alignment horizontal="center" vertical="center"/>
    </xf>
    <xf numFmtId="1" fontId="10" fillId="2" borderId="57" xfId="8" applyNumberFormat="1" applyFont="1" applyFill="1" applyBorder="1" applyAlignment="1">
      <alignment horizontal="center" vertical="center"/>
    </xf>
    <xf numFmtId="1" fontId="20" fillId="2" borderId="57" xfId="8" applyNumberFormat="1" applyFont="1" applyFill="1" applyBorder="1" applyAlignment="1">
      <alignment horizontal="center" vertical="center"/>
    </xf>
    <xf numFmtId="0" fontId="20" fillId="2" borderId="126" xfId="8" applyFont="1" applyFill="1" applyBorder="1" applyAlignment="1">
      <alignment horizontal="right" vertical="center"/>
    </xf>
    <xf numFmtId="0" fontId="20" fillId="2" borderId="34" xfId="8" applyFont="1" applyFill="1" applyBorder="1" applyAlignment="1">
      <alignment horizontal="center" vertical="center"/>
    </xf>
    <xf numFmtId="1" fontId="20" fillId="2" borderId="127" xfId="8" applyNumberFormat="1" applyFont="1" applyFill="1" applyBorder="1" applyAlignment="1">
      <alignment horizontal="center" vertical="center"/>
    </xf>
    <xf numFmtId="168" fontId="10" fillId="0" borderId="57" xfId="8" applyNumberFormat="1" applyFont="1" applyBorder="1" applyAlignment="1" applyProtection="1">
      <alignment horizontal="center" vertical="center"/>
      <protection locked="0"/>
    </xf>
    <xf numFmtId="0" fontId="10" fillId="2" borderId="50" xfId="8"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8" fontId="15" fillId="2" borderId="14" xfId="0" applyNumberFormat="1" applyFont="1" applyFill="1" applyBorder="1" applyAlignment="1">
      <alignment horizontal="center" vertical="center"/>
    </xf>
    <xf numFmtId="168" fontId="15" fillId="0" borderId="15" xfId="0" applyNumberFormat="1" applyFont="1" applyBorder="1" applyAlignment="1" applyProtection="1">
      <alignment horizontal="center" vertical="center"/>
      <protection locked="0"/>
    </xf>
    <xf numFmtId="0" fontId="28" fillId="0" borderId="0" xfId="8" applyFont="1" applyAlignment="1">
      <alignment horizontal="left" vertical="center" wrapText="1"/>
    </xf>
    <xf numFmtId="0" fontId="15" fillId="2" borderId="129" xfId="8" applyFont="1" applyFill="1" applyBorder="1" applyAlignment="1">
      <alignment horizontal="center" vertical="center"/>
    </xf>
    <xf numFmtId="0" fontId="15" fillId="2" borderId="131" xfId="8" applyFont="1" applyFill="1" applyBorder="1" applyAlignment="1">
      <alignment horizontal="center" vertical="center"/>
    </xf>
    <xf numFmtId="168" fontId="15" fillId="0" borderId="104" xfId="8" applyNumberFormat="1" applyFont="1" applyBorder="1" applyAlignment="1" applyProtection="1">
      <alignment horizontal="center" vertical="center"/>
      <protection locked="0"/>
    </xf>
    <xf numFmtId="0" fontId="28" fillId="0" borderId="0" xfId="8" applyFont="1" applyAlignment="1">
      <alignment horizontal="left" vertical="center"/>
    </xf>
    <xf numFmtId="0" fontId="15" fillId="2" borderId="16" xfId="8" applyFont="1" applyFill="1" applyBorder="1" applyAlignment="1">
      <alignment horizontal="center" vertical="center"/>
    </xf>
    <xf numFmtId="0" fontId="15" fillId="2" borderId="89" xfId="8" applyFont="1" applyFill="1" applyBorder="1" applyAlignment="1">
      <alignment horizontal="center" vertical="center" wrapText="1"/>
    </xf>
    <xf numFmtId="0" fontId="15" fillId="2" borderId="17" xfId="8" applyFont="1" applyFill="1" applyBorder="1" applyAlignment="1">
      <alignment horizontal="center" vertical="center"/>
    </xf>
    <xf numFmtId="168" fontId="15" fillId="2" borderId="88" xfId="8" applyNumberFormat="1" applyFont="1" applyFill="1" applyBorder="1" applyAlignment="1">
      <alignment horizontal="center" vertical="center"/>
    </xf>
    <xf numFmtId="0" fontId="10" fillId="2" borderId="26" xfId="8" applyFont="1" applyFill="1" applyBorder="1" applyAlignment="1">
      <alignment horizontal="center" vertical="center"/>
    </xf>
    <xf numFmtId="0" fontId="10" fillId="2" borderId="56" xfId="8" applyFont="1" applyFill="1" applyBorder="1" applyAlignment="1">
      <alignment horizontal="center" vertical="center"/>
    </xf>
    <xf numFmtId="0" fontId="10" fillId="2" borderId="25" xfId="8" applyFont="1" applyFill="1" applyBorder="1" applyAlignment="1">
      <alignment horizontal="center" vertical="center"/>
    </xf>
    <xf numFmtId="0" fontId="10" fillId="2" borderId="60" xfId="8" applyFont="1" applyFill="1" applyBorder="1" applyAlignment="1">
      <alignment horizontal="center" vertical="center"/>
    </xf>
    <xf numFmtId="168" fontId="10" fillId="0" borderId="61" xfId="8" applyNumberFormat="1" applyFont="1" applyBorder="1" applyAlignment="1" applyProtection="1">
      <alignment horizontal="center" vertical="center"/>
      <protection locked="0"/>
    </xf>
    <xf numFmtId="168" fontId="10" fillId="2" borderId="57" xfId="8" applyNumberFormat="1" applyFont="1" applyFill="1" applyBorder="1" applyAlignment="1">
      <alignment horizontal="center" vertical="center"/>
    </xf>
    <xf numFmtId="0" fontId="20" fillId="2" borderId="60" xfId="8" applyFont="1" applyFill="1" applyBorder="1" applyAlignment="1">
      <alignment horizontal="right" vertical="center" wrapText="1"/>
    </xf>
    <xf numFmtId="168" fontId="20" fillId="0" borderId="61" xfId="8" applyNumberFormat="1" applyFont="1" applyBorder="1" applyAlignment="1" applyProtection="1">
      <alignment horizontal="center" vertical="center"/>
      <protection locked="0"/>
    </xf>
    <xf numFmtId="0" fontId="15" fillId="2" borderId="28" xfId="8" applyFont="1" applyFill="1" applyBorder="1" applyAlignment="1">
      <alignment horizontal="center" vertical="center" wrapText="1"/>
    </xf>
    <xf numFmtId="0" fontId="10" fillId="2" borderId="37" xfId="8" applyFont="1" applyFill="1" applyBorder="1" applyAlignment="1">
      <alignment horizontal="center" vertical="center"/>
    </xf>
    <xf numFmtId="0" fontId="10" fillId="2" borderId="50" xfId="8" applyFont="1" applyFill="1" applyBorder="1" applyAlignment="1">
      <alignment horizontal="center" vertical="center" wrapText="1"/>
    </xf>
    <xf numFmtId="168" fontId="10" fillId="0" borderId="51" xfId="8" applyNumberFormat="1" applyFont="1" applyBorder="1" applyAlignment="1" applyProtection="1">
      <alignment horizontal="center" vertical="center"/>
      <protection locked="0"/>
    </xf>
    <xf numFmtId="0" fontId="10" fillId="2" borderId="129" xfId="8" applyFont="1" applyFill="1" applyBorder="1" applyAlignment="1">
      <alignment horizontal="center" vertical="center"/>
    </xf>
    <xf numFmtId="0" fontId="10" fillId="2" borderId="131" xfId="8" applyFont="1" applyFill="1" applyBorder="1" applyAlignment="1">
      <alignment horizontal="center" vertical="center" wrapText="1"/>
    </xf>
    <xf numFmtId="168" fontId="10" fillId="0" borderId="104" xfId="8" applyNumberFormat="1" applyFont="1" applyBorder="1" applyAlignment="1" applyProtection="1">
      <alignment horizontal="center" vertical="center"/>
      <protection locked="0"/>
    </xf>
    <xf numFmtId="0" fontId="15" fillId="2" borderId="65" xfId="8" applyFont="1" applyFill="1" applyBorder="1" applyAlignment="1">
      <alignment horizontal="center" vertical="center"/>
    </xf>
    <xf numFmtId="0" fontId="15" fillId="2" borderId="128" xfId="8" applyFont="1" applyFill="1" applyBorder="1" applyAlignment="1">
      <alignment horizontal="center" vertical="center"/>
    </xf>
    <xf numFmtId="171" fontId="15" fillId="2" borderId="66" xfId="8" applyNumberFormat="1" applyFont="1" applyFill="1" applyBorder="1" applyAlignment="1">
      <alignment horizontal="center" vertical="center"/>
    </xf>
    <xf numFmtId="1" fontId="15" fillId="2" borderId="67" xfId="8" applyNumberFormat="1" applyFont="1" applyFill="1" applyBorder="1" applyAlignment="1">
      <alignment horizontal="center" vertical="center"/>
    </xf>
    <xf numFmtId="0" fontId="20" fillId="2" borderId="142" xfId="8" applyFont="1" applyFill="1" applyBorder="1" applyAlignment="1">
      <alignment horizontal="center" vertical="center"/>
    </xf>
    <xf numFmtId="0" fontId="51" fillId="0" borderId="104" xfId="8" applyBorder="1"/>
    <xf numFmtId="0" fontId="10" fillId="2" borderId="58" xfId="8" applyFont="1" applyFill="1" applyBorder="1" applyAlignment="1">
      <alignment horizontal="center" vertical="center" wrapText="1"/>
    </xf>
    <xf numFmtId="0" fontId="15" fillId="2" borderId="17" xfId="8" applyFont="1" applyFill="1" applyBorder="1" applyAlignment="1">
      <alignment horizontal="center" vertical="center" wrapText="1"/>
    </xf>
    <xf numFmtId="2" fontId="15" fillId="2" borderId="18" xfId="8" applyNumberFormat="1" applyFont="1" applyFill="1" applyBorder="1" applyAlignment="1">
      <alignment horizontal="center" vertical="center" wrapText="1"/>
    </xf>
    <xf numFmtId="0" fontId="10" fillId="2" borderId="23" xfId="8" applyFont="1" applyFill="1" applyBorder="1" applyAlignment="1">
      <alignment horizontal="right" vertical="center" wrapText="1"/>
    </xf>
    <xf numFmtId="0" fontId="10" fillId="2" borderId="23" xfId="8" applyFont="1" applyFill="1" applyBorder="1" applyAlignment="1">
      <alignment horizontal="center" vertical="center" wrapText="1"/>
    </xf>
    <xf numFmtId="2" fontId="10" fillId="2" borderId="24" xfId="8" applyNumberFormat="1" applyFont="1" applyFill="1" applyBorder="1" applyAlignment="1">
      <alignment horizontal="center" vertical="center" wrapText="1"/>
    </xf>
    <xf numFmtId="0" fontId="10" fillId="2" borderId="39" xfId="8" applyFont="1" applyFill="1" applyBorder="1" applyAlignment="1">
      <alignment horizontal="center" vertical="center" wrapText="1"/>
    </xf>
    <xf numFmtId="0" fontId="10" fillId="2" borderId="34" xfId="8" applyFont="1" applyFill="1" applyBorder="1" applyAlignment="1">
      <alignment horizontal="right" vertical="center" wrapText="1"/>
    </xf>
    <xf numFmtId="0" fontId="10" fillId="2" borderId="34" xfId="8" applyFont="1" applyFill="1" applyBorder="1" applyAlignment="1">
      <alignment horizontal="center" vertical="center" wrapText="1"/>
    </xf>
    <xf numFmtId="2" fontId="10" fillId="2" borderId="143" xfId="8" applyNumberFormat="1" applyFont="1" applyFill="1" applyBorder="1" applyAlignment="1">
      <alignment horizontal="center" vertical="center" wrapText="1"/>
    </xf>
    <xf numFmtId="0" fontId="15" fillId="2" borderId="144" xfId="8" applyFont="1" applyFill="1" applyBorder="1" applyAlignment="1">
      <alignment horizontal="center" vertical="center" wrapText="1"/>
    </xf>
    <xf numFmtId="0" fontId="15" fillId="2" borderId="130" xfId="8" applyFont="1" applyFill="1" applyBorder="1" applyAlignment="1">
      <alignment horizontal="center" vertical="center" wrapText="1"/>
    </xf>
    <xf numFmtId="0" fontId="10" fillId="2" borderId="130" xfId="8" applyFont="1" applyFill="1" applyBorder="1" applyAlignment="1">
      <alignment horizontal="center" vertical="center" wrapText="1"/>
    </xf>
    <xf numFmtId="2" fontId="8" fillId="2" borderId="24" xfId="8" applyNumberFormat="1" applyFont="1" applyFill="1" applyBorder="1" applyAlignment="1">
      <alignment horizontal="center" vertical="center" wrapText="1"/>
    </xf>
    <xf numFmtId="0" fontId="10" fillId="2" borderId="84" xfId="8" applyFont="1" applyFill="1" applyBorder="1" applyAlignment="1">
      <alignment horizontal="center" vertical="center" wrapText="1"/>
    </xf>
    <xf numFmtId="2" fontId="8" fillId="2" borderId="35" xfId="8" applyNumberFormat="1" applyFont="1" applyFill="1" applyBorder="1" applyAlignment="1">
      <alignment horizontal="center" vertical="center" wrapText="1"/>
    </xf>
    <xf numFmtId="0" fontId="15" fillId="2" borderId="71" xfId="8" applyFont="1" applyFill="1" applyBorder="1" applyAlignment="1">
      <alignment horizontal="center" vertical="center" wrapText="1"/>
    </xf>
    <xf numFmtId="0" fontId="15" fillId="2" borderId="72" xfId="8" applyFont="1" applyFill="1" applyBorder="1" applyAlignment="1">
      <alignment horizontal="center" vertical="center" wrapText="1"/>
    </xf>
    <xf numFmtId="2" fontId="15" fillId="2" borderId="73" xfId="8" applyNumberFormat="1" applyFont="1" applyFill="1" applyBorder="1" applyAlignment="1">
      <alignment horizontal="center" vertical="center" wrapText="1"/>
    </xf>
    <xf numFmtId="3" fontId="10" fillId="0" borderId="27" xfId="8" applyNumberFormat="1" applyFont="1" applyBorder="1" applyAlignment="1" applyProtection="1">
      <alignment horizontal="center" vertical="center"/>
      <protection locked="0"/>
    </xf>
    <xf numFmtId="0" fontId="10" fillId="2" borderId="14" xfId="8" applyFont="1" applyFill="1" applyBorder="1" applyAlignment="1">
      <alignment horizontal="center" vertical="center"/>
    </xf>
    <xf numFmtId="3" fontId="10" fillId="0" borderId="15" xfId="8" applyNumberFormat="1" applyFont="1" applyBorder="1" applyAlignment="1" applyProtection="1">
      <alignment horizontal="center" vertical="center"/>
      <protection locked="0"/>
    </xf>
    <xf numFmtId="3" fontId="15" fillId="2" borderId="21" xfId="8" applyNumberFormat="1" applyFont="1" applyFill="1" applyBorder="1" applyAlignment="1">
      <alignment horizontal="center" vertical="center"/>
    </xf>
    <xf numFmtId="3" fontId="10" fillId="2" borderId="24" xfId="8" applyNumberFormat="1" applyFont="1" applyFill="1" applyBorder="1" applyAlignment="1">
      <alignment horizontal="center" vertical="center"/>
    </xf>
    <xf numFmtId="0" fontId="20" fillId="2" borderId="23" xfId="8" applyFont="1" applyFill="1" applyBorder="1" applyAlignment="1">
      <alignment horizontal="right" vertical="center"/>
    </xf>
    <xf numFmtId="3" fontId="20" fillId="0" borderId="24" xfId="8" applyNumberFormat="1" applyFont="1" applyBorder="1" applyAlignment="1" applyProtection="1">
      <alignment horizontal="center" vertical="center"/>
      <protection locked="0"/>
    </xf>
    <xf numFmtId="3" fontId="10" fillId="0" borderId="24" xfId="8" applyNumberFormat="1" applyFont="1" applyBorder="1" applyAlignment="1" applyProtection="1">
      <alignment horizontal="center" vertical="center"/>
      <protection locked="0"/>
    </xf>
    <xf numFmtId="0" fontId="29" fillId="0" borderId="0" xfId="8" applyFont="1"/>
    <xf numFmtId="0" fontId="10" fillId="2" borderId="130" xfId="8" applyFont="1" applyFill="1" applyBorder="1" applyAlignment="1">
      <alignment horizontal="center" vertical="center"/>
    </xf>
    <xf numFmtId="3" fontId="10" fillId="0" borderId="103" xfId="8" applyNumberFormat="1" applyFont="1" applyBorder="1" applyAlignment="1" applyProtection="1">
      <alignment horizontal="center" vertical="center"/>
      <protection locked="0"/>
    </xf>
    <xf numFmtId="0" fontId="10" fillId="2" borderId="39" xfId="8" applyFont="1" applyFill="1" applyBorder="1" applyAlignment="1">
      <alignment horizontal="center" vertical="center"/>
    </xf>
    <xf numFmtId="0" fontId="10" fillId="2" borderId="34" xfId="8" applyFont="1" applyFill="1" applyBorder="1" applyAlignment="1">
      <alignment horizontal="center" vertical="center"/>
    </xf>
    <xf numFmtId="3" fontId="10" fillId="0" borderId="35" xfId="8" applyNumberFormat="1" applyFont="1" applyBorder="1" applyAlignment="1" applyProtection="1">
      <alignment horizontal="center" vertical="center"/>
      <protection locked="0"/>
    </xf>
    <xf numFmtId="3" fontId="30" fillId="2" borderId="21" xfId="8" applyNumberFormat="1" applyFont="1" applyFill="1" applyBorder="1" applyAlignment="1">
      <alignment horizontal="center" vertical="center"/>
    </xf>
    <xf numFmtId="0" fontId="15" fillId="2" borderId="20" xfId="8" applyFont="1" applyFill="1" applyBorder="1" applyAlignment="1">
      <alignment horizontal="center" vertical="center" wrapText="1"/>
    </xf>
    <xf numFmtId="3" fontId="10" fillId="2" borderId="21" xfId="8" applyNumberFormat="1" applyFont="1" applyFill="1" applyBorder="1" applyAlignment="1">
      <alignment horizontal="center" vertical="center"/>
    </xf>
    <xf numFmtId="0" fontId="10" fillId="2" borderId="38" xfId="8" applyFont="1" applyFill="1" applyBorder="1" applyAlignment="1">
      <alignment horizontal="center" vertical="center"/>
    </xf>
    <xf numFmtId="3" fontId="10" fillId="0" borderId="31" xfId="8" applyNumberFormat="1" applyFont="1" applyBorder="1" applyAlignment="1" applyProtection="1">
      <alignment horizontal="center" vertical="center"/>
      <protection locked="0"/>
    </xf>
    <xf numFmtId="0" fontId="15" fillId="2" borderId="5" xfId="0" applyFont="1" applyFill="1" applyBorder="1" applyAlignment="1" applyProtection="1">
      <alignment horizontal="center" vertical="center"/>
    </xf>
    <xf numFmtId="0" fontId="15" fillId="2" borderId="40" xfId="0" applyFont="1" applyFill="1" applyBorder="1" applyAlignment="1" applyProtection="1">
      <alignment horizontal="center" vertical="center" wrapText="1"/>
    </xf>
    <xf numFmtId="0" fontId="15" fillId="2" borderId="63" xfId="0" applyFont="1" applyFill="1" applyBorder="1" applyAlignment="1" applyProtection="1">
      <alignment horizontal="center" vertical="center" wrapText="1"/>
    </xf>
    <xf numFmtId="3" fontId="15" fillId="2" borderId="41"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xf>
    <xf numFmtId="3" fontId="15" fillId="2" borderId="137" xfId="0" applyNumberFormat="1" applyFont="1" applyFill="1" applyBorder="1" applyAlignment="1" applyProtection="1">
      <alignment horizontal="center" vertical="center" wrapText="1"/>
    </xf>
    <xf numFmtId="0" fontId="15" fillId="2" borderId="106"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3" fontId="5" fillId="0" borderId="0" xfId="0" applyNumberFormat="1" applyFont="1"/>
    <xf numFmtId="0" fontId="15" fillId="2" borderId="43" xfId="0" applyFont="1" applyFill="1" applyBorder="1" applyAlignment="1" applyProtection="1">
      <alignment horizontal="center" vertical="center"/>
    </xf>
    <xf numFmtId="4" fontId="15" fillId="4" borderId="145" xfId="0" applyNumberFormat="1" applyFont="1" applyFill="1" applyBorder="1" applyAlignment="1" applyProtection="1">
      <alignment horizontal="center" vertical="center" wrapText="1"/>
    </xf>
    <xf numFmtId="4" fontId="15" fillId="2" borderId="48" xfId="0" applyNumberFormat="1" applyFont="1" applyFill="1" applyBorder="1" applyAlignment="1" applyProtection="1">
      <alignment horizontal="center" vertical="center" wrapText="1"/>
    </xf>
    <xf numFmtId="4" fontId="15" fillId="2" borderId="45" xfId="0" applyNumberFormat="1" applyFont="1" applyFill="1" applyBorder="1" applyAlignment="1" applyProtection="1">
      <alignment horizontal="center" vertical="center" wrapText="1"/>
    </xf>
    <xf numFmtId="4" fontId="15" fillId="2" borderId="46" xfId="0" applyNumberFormat="1" applyFont="1" applyFill="1" applyBorder="1" applyAlignment="1" applyProtection="1">
      <alignment horizontal="center" vertical="center" wrapText="1"/>
    </xf>
    <xf numFmtId="4" fontId="15" fillId="2" borderId="47" xfId="0" applyNumberFormat="1" applyFont="1" applyFill="1" applyBorder="1" applyAlignment="1" applyProtection="1">
      <alignment horizontal="center" vertical="center" wrapText="1"/>
    </xf>
    <xf numFmtId="4" fontId="15" fillId="2" borderId="43" xfId="0" applyNumberFormat="1" applyFont="1" applyFill="1" applyBorder="1" applyAlignment="1" applyProtection="1">
      <alignment horizontal="center" vertical="center" wrapText="1"/>
    </xf>
    <xf numFmtId="4" fontId="15" fillId="2" borderId="141" xfId="0" applyNumberFormat="1" applyFont="1" applyFill="1" applyBorder="1" applyAlignment="1" applyProtection="1">
      <alignment horizontal="center" vertical="center" wrapText="1"/>
    </xf>
    <xf numFmtId="4" fontId="15" fillId="2" borderId="146"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38" xfId="0" applyFont="1" applyFill="1" applyBorder="1" applyAlignment="1" applyProtection="1">
      <alignment horizontal="center" vertical="center" wrapText="1"/>
    </xf>
    <xf numFmtId="4" fontId="15" fillId="5" borderId="147" xfId="0" applyNumberFormat="1" applyFont="1" applyFill="1" applyBorder="1" applyAlignment="1" applyProtection="1">
      <alignment horizontal="center" vertical="center" wrapText="1"/>
    </xf>
    <xf numFmtId="4" fontId="15" fillId="2" borderId="51" xfId="0" applyNumberFormat="1" applyFont="1" applyFill="1" applyBorder="1" applyAlignment="1" applyProtection="1">
      <alignment horizontal="center" vertical="center" wrapText="1"/>
    </xf>
    <xf numFmtId="4" fontId="15" fillId="2" borderId="37" xfId="0" applyNumberFormat="1" applyFont="1" applyFill="1" applyBorder="1" applyAlignment="1" applyProtection="1">
      <alignment horizontal="center" vertical="center" wrapText="1"/>
    </xf>
    <xf numFmtId="4" fontId="15" fillId="2" borderId="38" xfId="0" applyNumberFormat="1" applyFont="1" applyFill="1" applyBorder="1" applyAlignment="1" applyProtection="1">
      <alignment horizontal="center" vertical="center" wrapText="1"/>
    </xf>
    <xf numFmtId="4" fontId="15" fillId="2" borderId="31" xfId="0" applyNumberFormat="1" applyFont="1" applyFill="1" applyBorder="1" applyAlignment="1" applyProtection="1">
      <alignment horizontal="center" vertical="center" wrapText="1"/>
    </xf>
    <xf numFmtId="4" fontId="15" fillId="2" borderId="9" xfId="0" applyNumberFormat="1" applyFont="1" applyFill="1" applyBorder="1" applyAlignment="1" applyProtection="1">
      <alignment horizontal="center" vertical="center" wrapText="1"/>
    </xf>
    <xf numFmtId="4" fontId="15" fillId="2" borderId="148" xfId="0" applyNumberFormat="1" applyFont="1" applyFill="1" applyBorder="1" applyAlignment="1" applyProtection="1">
      <alignment horizontal="center" vertical="center" wrapText="1"/>
    </xf>
    <xf numFmtId="4" fontId="15" fillId="2" borderId="96" xfId="0" applyNumberFormat="1"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xf>
    <xf numFmtId="0" fontId="20" fillId="2" borderId="23" xfId="0" applyFont="1" applyFill="1" applyBorder="1" applyAlignment="1" applyProtection="1">
      <alignment horizontal="right" vertical="center" wrapText="1"/>
    </xf>
    <xf numFmtId="4" fontId="10" fillId="2" borderId="37" xfId="0" applyNumberFormat="1" applyFont="1" applyFill="1" applyBorder="1" applyAlignment="1" applyProtection="1">
      <alignment horizontal="center" vertical="center" wrapText="1"/>
    </xf>
    <xf numFmtId="4" fontId="10" fillId="2" borderId="38" xfId="0" applyNumberFormat="1" applyFont="1" applyFill="1" applyBorder="1" applyAlignment="1" applyProtection="1">
      <alignment horizontal="center" vertical="center" wrapText="1"/>
    </xf>
    <xf numFmtId="4" fontId="10" fillId="2" borderId="31" xfId="0" applyNumberFormat="1" applyFont="1" applyFill="1" applyBorder="1" applyAlignment="1" applyProtection="1">
      <alignment horizontal="center" vertical="center" wrapText="1"/>
    </xf>
    <xf numFmtId="4" fontId="10" fillId="2" borderId="148" xfId="0" applyNumberFormat="1" applyFont="1" applyFill="1" applyBorder="1" applyAlignment="1" applyProtection="1">
      <alignment horizontal="center" vertical="center" wrapText="1"/>
    </xf>
    <xf numFmtId="4" fontId="10" fillId="2" borderId="23" xfId="0" applyNumberFormat="1" applyFont="1" applyFill="1" applyBorder="1" applyAlignment="1" applyProtection="1">
      <alignment horizontal="center" vertical="center" wrapText="1"/>
    </xf>
    <xf numFmtId="4" fontId="10"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4" fontId="15" fillId="2" borderId="23" xfId="0" applyNumberFormat="1" applyFont="1" applyFill="1" applyBorder="1" applyAlignment="1" applyProtection="1">
      <alignment horizontal="center" vertical="center" wrapText="1"/>
    </xf>
    <xf numFmtId="4" fontId="15"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wrapText="1"/>
    </xf>
    <xf numFmtId="0" fontId="20" fillId="2" borderId="23" xfId="0" applyFont="1" applyFill="1" applyBorder="1" applyAlignment="1" applyProtection="1">
      <alignment horizontal="right" wrapText="1"/>
    </xf>
    <xf numFmtId="4" fontId="15" fillId="2" borderId="51" xfId="0" applyNumberFormat="1" applyFont="1" applyFill="1" applyBorder="1" applyAlignment="1" applyProtection="1">
      <alignment horizontal="center" vertical="center"/>
    </xf>
    <xf numFmtId="4" fontId="10" fillId="2" borderId="37" xfId="0" applyNumberFormat="1" applyFont="1" applyFill="1" applyBorder="1" applyAlignment="1" applyProtection="1">
      <alignment horizontal="center" vertical="center"/>
    </xf>
    <xf numFmtId="4" fontId="10" fillId="2" borderId="38" xfId="0" applyNumberFormat="1" applyFont="1" applyFill="1" applyBorder="1" applyAlignment="1" applyProtection="1">
      <alignment horizontal="center" vertical="center"/>
    </xf>
    <xf numFmtId="4" fontId="10" fillId="2" borderId="31" xfId="0" applyNumberFormat="1" applyFont="1" applyFill="1" applyBorder="1" applyAlignment="1" applyProtection="1">
      <alignment horizontal="center" vertical="center"/>
    </xf>
    <xf numFmtId="4" fontId="15" fillId="2" borderId="9" xfId="0" applyNumberFormat="1" applyFont="1" applyFill="1" applyBorder="1" applyAlignment="1" applyProtection="1">
      <alignment horizontal="center" vertical="center"/>
    </xf>
    <xf numFmtId="4" fontId="10" fillId="2" borderId="148" xfId="0" applyNumberFormat="1" applyFont="1" applyFill="1" applyBorder="1" applyAlignment="1" applyProtection="1">
      <alignment horizontal="center" vertical="center"/>
    </xf>
    <xf numFmtId="4" fontId="10" fillId="2" borderId="96" xfId="0" applyNumberFormat="1" applyFont="1" applyFill="1" applyBorder="1" applyAlignment="1" applyProtection="1">
      <alignment horizontal="center" vertical="center"/>
    </xf>
    <xf numFmtId="4" fontId="10" fillId="2" borderId="23" xfId="0" applyNumberFormat="1" applyFont="1" applyFill="1" applyBorder="1" applyAlignment="1" applyProtection="1">
      <alignment horizontal="center" vertical="center"/>
    </xf>
    <xf numFmtId="4" fontId="10" fillId="2" borderId="24" xfId="0" applyNumberFormat="1" applyFont="1" applyFill="1" applyBorder="1" applyAlignment="1" applyProtection="1">
      <alignment horizontal="center" vertical="center"/>
    </xf>
    <xf numFmtId="4" fontId="10" fillId="2" borderId="51" xfId="0" applyNumberFormat="1" applyFont="1" applyFill="1" applyBorder="1" applyAlignment="1" applyProtection="1">
      <alignment horizontal="center" vertical="center"/>
    </xf>
    <xf numFmtId="0" fontId="20" fillId="2" borderId="26" xfId="0" applyFont="1" applyFill="1" applyBorder="1" applyAlignment="1" applyProtection="1">
      <alignment horizontal="left" wrapText="1"/>
    </xf>
    <xf numFmtId="0" fontId="15" fillId="2" borderId="26" xfId="0" applyFont="1" applyFill="1" applyBorder="1" applyAlignment="1" applyProtection="1">
      <alignment horizontal="center" wrapText="1"/>
    </xf>
    <xf numFmtId="4" fontId="15" fillId="2" borderId="57" xfId="0" applyNumberFormat="1" applyFont="1" applyFill="1" applyBorder="1" applyAlignment="1" applyProtection="1">
      <alignment horizontal="center" vertical="center"/>
    </xf>
    <xf numFmtId="4" fontId="15" fillId="2" borderId="22" xfId="0" applyNumberFormat="1" applyFont="1" applyFill="1" applyBorder="1" applyAlignment="1" applyProtection="1">
      <alignment horizontal="center" vertical="center"/>
    </xf>
    <xf numFmtId="4" fontId="15" fillId="2" borderId="23" xfId="0" applyNumberFormat="1" applyFont="1" applyFill="1" applyBorder="1" applyAlignment="1" applyProtection="1">
      <alignment horizontal="center" vertical="center"/>
    </xf>
    <xf numFmtId="4" fontId="15" fillId="2" borderId="24" xfId="0" applyNumberFormat="1" applyFont="1" applyFill="1" applyBorder="1" applyAlignment="1" applyProtection="1">
      <alignment horizontal="center" vertical="center"/>
    </xf>
    <xf numFmtId="4" fontId="15" fillId="2" borderId="6" xfId="0" applyNumberFormat="1" applyFont="1" applyFill="1" applyBorder="1" applyAlignment="1" applyProtection="1">
      <alignment horizontal="center" vertical="center"/>
    </xf>
    <xf numFmtId="4" fontId="15" fillId="2" borderId="134" xfId="0" applyNumberFormat="1" applyFont="1" applyFill="1" applyBorder="1" applyAlignment="1" applyProtection="1">
      <alignment horizontal="center" vertical="center"/>
    </xf>
    <xf numFmtId="4" fontId="15" fillId="2" borderId="109" xfId="0" applyNumberFormat="1"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7" xfId="0" applyFont="1" applyFill="1" applyBorder="1" applyAlignment="1" applyProtection="1">
      <alignment horizontal="right" wrapText="1"/>
    </xf>
    <xf numFmtId="4" fontId="15" fillId="2" borderId="61" xfId="0" applyNumberFormat="1" applyFont="1" applyFill="1" applyBorder="1" applyAlignment="1" applyProtection="1">
      <alignment horizontal="center" vertical="center"/>
    </xf>
    <xf numFmtId="4" fontId="10" fillId="2" borderId="25" xfId="0" applyNumberFormat="1" applyFont="1" applyFill="1" applyBorder="1" applyAlignment="1" applyProtection="1">
      <alignment horizontal="center" vertical="center"/>
    </xf>
    <xf numFmtId="4" fontId="10" fillId="2" borderId="26" xfId="0" applyNumberFormat="1" applyFont="1" applyFill="1" applyBorder="1" applyAlignment="1" applyProtection="1">
      <alignment horizontal="center" vertical="center"/>
    </xf>
    <xf numFmtId="4" fontId="10" fillId="2" borderId="27" xfId="0" applyNumberFormat="1" applyFont="1" applyFill="1" applyBorder="1" applyAlignment="1" applyProtection="1">
      <alignment horizontal="center" vertical="center"/>
    </xf>
    <xf numFmtId="4" fontId="15" fillId="2" borderId="7" xfId="0" applyNumberFormat="1" applyFont="1" applyFill="1" applyBorder="1" applyAlignment="1" applyProtection="1">
      <alignment horizontal="center" vertical="center"/>
    </xf>
    <xf numFmtId="4" fontId="10" fillId="2" borderId="83" xfId="0" applyNumberFormat="1" applyFont="1" applyFill="1" applyBorder="1" applyAlignment="1" applyProtection="1">
      <alignment horizontal="center" vertical="center"/>
    </xf>
    <xf numFmtId="4" fontId="10" fillId="2" borderId="149" xfId="0" applyNumberFormat="1" applyFont="1" applyFill="1" applyBorder="1" applyAlignment="1" applyProtection="1">
      <alignment horizontal="center" vertical="center"/>
    </xf>
    <xf numFmtId="4" fontId="10" fillId="2" borderId="61" xfId="0" applyNumberFormat="1" applyFont="1" applyFill="1" applyBorder="1" applyAlignment="1" applyProtection="1">
      <alignment horizontal="center" vertical="center"/>
    </xf>
    <xf numFmtId="0" fontId="20" fillId="2" borderId="6" xfId="0" applyFont="1" applyFill="1" applyBorder="1" applyAlignment="1" applyProtection="1">
      <alignment horizontal="right" wrapText="1"/>
    </xf>
    <xf numFmtId="4" fontId="10" fillId="2" borderId="22" xfId="0" applyNumberFormat="1" applyFont="1" applyFill="1" applyBorder="1" applyAlignment="1" applyProtection="1">
      <alignment horizontal="center" vertical="center"/>
    </xf>
    <xf numFmtId="4" fontId="10" fillId="2" borderId="134" xfId="0" applyNumberFormat="1" applyFont="1" applyFill="1" applyBorder="1" applyAlignment="1" applyProtection="1">
      <alignment horizontal="center" vertical="center"/>
    </xf>
    <xf numFmtId="4" fontId="10" fillId="2" borderId="109" xfId="0" applyNumberFormat="1" applyFont="1" applyFill="1" applyBorder="1" applyAlignment="1" applyProtection="1">
      <alignment horizontal="center" vertical="center"/>
    </xf>
    <xf numFmtId="4" fontId="10" fillId="2" borderId="57" xfId="0" applyNumberFormat="1"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6" xfId="0" applyFont="1" applyFill="1" applyBorder="1" applyAlignment="1" applyProtection="1">
      <alignment horizontal="center" wrapText="1"/>
    </xf>
    <xf numFmtId="0" fontId="20" fillId="0" borderId="7" xfId="0" applyFont="1" applyFill="1" applyBorder="1" applyAlignment="1" applyProtection="1">
      <alignment horizontal="right" wrapText="1"/>
      <protection locked="0"/>
    </xf>
    <xf numFmtId="4" fontId="15" fillId="2" borderId="104" xfId="0" applyNumberFormat="1" applyFont="1" applyFill="1" applyBorder="1" applyAlignment="1" applyProtection="1">
      <alignment horizontal="center" vertical="center"/>
    </xf>
    <xf numFmtId="4" fontId="10" fillId="2" borderId="129" xfId="0" applyNumberFormat="1" applyFont="1" applyFill="1" applyBorder="1" applyAlignment="1" applyProtection="1">
      <alignment horizontal="center" vertical="center"/>
    </xf>
    <xf numFmtId="4" fontId="10" fillId="2" borderId="130" xfId="0" applyNumberFormat="1" applyFont="1" applyFill="1" applyBorder="1" applyAlignment="1" applyProtection="1">
      <alignment horizontal="center" vertical="center"/>
    </xf>
    <xf numFmtId="4" fontId="10" fillId="2" borderId="103" xfId="0" applyNumberFormat="1" applyFont="1" applyFill="1" applyBorder="1" applyAlignment="1" applyProtection="1">
      <alignment horizontal="center" vertical="center"/>
    </xf>
    <xf numFmtId="4" fontId="15" fillId="2" borderId="59" xfId="0" applyNumberFormat="1" applyFont="1" applyFill="1" applyBorder="1" applyAlignment="1" applyProtection="1">
      <alignment horizontal="center" vertical="center"/>
    </xf>
    <xf numFmtId="4" fontId="10" fillId="2" borderId="0" xfId="0" applyNumberFormat="1" applyFont="1" applyFill="1" applyAlignment="1" applyProtection="1">
      <alignment horizontal="center" vertical="center"/>
    </xf>
    <xf numFmtId="4" fontId="10" fillId="2" borderId="100" xfId="0" applyNumberFormat="1" applyFont="1" applyFill="1" applyBorder="1" applyAlignment="1" applyProtection="1">
      <alignment horizontal="center" vertical="center"/>
    </xf>
    <xf numFmtId="4" fontId="10" fillId="2" borderId="104" xfId="0" applyNumberFormat="1" applyFont="1" applyFill="1" applyBorder="1" applyAlignment="1" applyProtection="1">
      <alignment horizontal="center" vertical="center"/>
    </xf>
    <xf numFmtId="4" fontId="10" fillId="0" borderId="148" xfId="0" applyNumberFormat="1" applyFont="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0" fontId="20" fillId="2" borderId="26" xfId="0" applyFont="1" applyFill="1" applyBorder="1" applyAlignment="1" applyProtection="1">
      <alignment horizontal="right" wrapText="1"/>
    </xf>
    <xf numFmtId="4" fontId="15" fillId="2" borderId="104" xfId="0" applyNumberFormat="1" applyFont="1" applyFill="1" applyBorder="1" applyAlignment="1" applyProtection="1">
      <alignment horizontal="center" vertical="center" wrapText="1"/>
    </xf>
    <xf numFmtId="4" fontId="10" fillId="0" borderId="129" xfId="0" applyNumberFormat="1" applyFont="1" applyBorder="1" applyAlignment="1" applyProtection="1">
      <alignment horizontal="center" vertical="center" wrapText="1"/>
      <protection locked="0"/>
    </xf>
    <xf numFmtId="4" fontId="10" fillId="0" borderId="130" xfId="0" applyNumberFormat="1" applyFont="1" applyBorder="1" applyAlignment="1" applyProtection="1">
      <alignment horizontal="center" vertical="center" wrapText="1"/>
      <protection locked="0"/>
    </xf>
    <xf numFmtId="4" fontId="10" fillId="0" borderId="103"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100" xfId="0" applyNumberFormat="1" applyFont="1" applyFill="1" applyBorder="1" applyAlignment="1" applyProtection="1">
      <alignment horizontal="center" vertical="center" wrapText="1"/>
    </xf>
    <xf numFmtId="4" fontId="15" fillId="0" borderId="104" xfId="0" applyNumberFormat="1" applyFont="1" applyBorder="1" applyAlignment="1" applyProtection="1">
      <alignment horizontal="center" vertical="center" wrapText="1"/>
      <protection locked="0"/>
    </xf>
    <xf numFmtId="4" fontId="15" fillId="4" borderId="145" xfId="0" applyNumberFormat="1" applyFont="1" applyFill="1" applyBorder="1" applyAlignment="1">
      <alignment horizontal="center" vertical="center" wrapText="1"/>
    </xf>
    <xf numFmtId="4" fontId="15" fillId="2" borderId="141" xfId="0" applyNumberFormat="1" applyFont="1" applyFill="1" applyBorder="1" applyAlignment="1">
      <alignment horizontal="center" vertical="center" wrapText="1"/>
    </xf>
    <xf numFmtId="4" fontId="15" fillId="4" borderId="147" xfId="0" applyNumberFormat="1" applyFont="1" applyFill="1" applyBorder="1" applyAlignment="1">
      <alignment horizontal="center" vertical="center" wrapText="1"/>
    </xf>
    <xf numFmtId="4" fontId="15" fillId="2" borderId="148" xfId="0" applyNumberFormat="1" applyFont="1" applyFill="1" applyBorder="1" applyAlignment="1">
      <alignment horizontal="center" vertical="center" wrapText="1"/>
    </xf>
    <xf numFmtId="4" fontId="10" fillId="0" borderId="147" xfId="0" applyNumberFormat="1" applyFont="1" applyBorder="1" applyAlignment="1" applyProtection="1">
      <alignment horizontal="center" vertical="center" wrapText="1"/>
      <protection locked="0"/>
    </xf>
    <xf numFmtId="4" fontId="10" fillId="2" borderId="148" xfId="0" applyNumberFormat="1" applyFont="1" applyFill="1" applyBorder="1" applyAlignment="1">
      <alignment horizontal="center" vertical="center" wrapText="1"/>
    </xf>
    <xf numFmtId="4" fontId="10" fillId="2" borderId="96" xfId="0" applyNumberFormat="1" applyFont="1" applyFill="1" applyBorder="1" applyAlignment="1" applyProtection="1">
      <alignment horizontal="center" vertical="center" wrapText="1"/>
    </xf>
    <xf numFmtId="4" fontId="15" fillId="4" borderId="95" xfId="0" applyNumberFormat="1" applyFont="1" applyFill="1" applyBorder="1" applyAlignment="1">
      <alignment horizontal="center" vertical="center" wrapText="1"/>
    </xf>
    <xf numFmtId="4" fontId="15" fillId="2" borderId="134" xfId="0" applyNumberFormat="1" applyFont="1" applyFill="1" applyBorder="1" applyAlignment="1">
      <alignment horizontal="center" vertical="center"/>
    </xf>
    <xf numFmtId="4" fontId="10" fillId="0" borderId="99" xfId="0" applyNumberFormat="1" applyFont="1" applyBorder="1" applyAlignment="1" applyProtection="1">
      <alignment horizontal="center" vertical="center" wrapText="1"/>
      <protection locked="0"/>
    </xf>
    <xf numFmtId="4" fontId="10" fillId="0" borderId="95"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100" xfId="0" applyNumberFormat="1" applyFont="1" applyFill="1" applyBorder="1" applyAlignment="1" applyProtection="1">
      <alignment horizontal="center" vertical="center" wrapText="1"/>
    </xf>
    <xf numFmtId="4" fontId="10" fillId="4" borderId="5" xfId="0" applyNumberFormat="1"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2" xfId="0" applyFont="1" applyFill="1" applyBorder="1" applyAlignment="1">
      <alignment horizontal="center" vertical="center" wrapText="1"/>
    </xf>
    <xf numFmtId="3" fontId="15" fillId="2" borderId="137"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2" fontId="10" fillId="0" borderId="29"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xf>
    <xf numFmtId="2" fontId="10" fillId="0" borderId="30" xfId="0" applyNumberFormat="1" applyFont="1" applyBorder="1" applyAlignment="1" applyProtection="1">
      <alignment horizontal="center" vertical="center"/>
      <protection locked="0"/>
    </xf>
    <xf numFmtId="2" fontId="15" fillId="2" borderId="109" xfId="0" applyNumberFormat="1" applyFont="1" applyFill="1" applyBorder="1" applyAlignment="1" applyProtection="1">
      <alignment horizontal="center" vertical="center"/>
    </xf>
    <xf numFmtId="2" fontId="10" fillId="0" borderId="32" xfId="0" applyNumberFormat="1" applyFont="1" applyBorder="1" applyAlignment="1" applyProtection="1">
      <alignment horizontal="center" vertical="center"/>
      <protection locked="0"/>
    </xf>
    <xf numFmtId="2" fontId="15" fillId="2" borderId="149" xfId="0" applyNumberFormat="1" applyFont="1" applyFill="1" applyBorder="1" applyAlignment="1" applyProtection="1">
      <alignment horizontal="center" vertical="center"/>
    </xf>
    <xf numFmtId="2" fontId="15" fillId="2" borderId="81" xfId="0" applyNumberFormat="1" applyFont="1" applyFill="1" applyBorder="1" applyAlignment="1">
      <alignment horizontal="center" vertical="center"/>
    </xf>
    <xf numFmtId="2" fontId="10" fillId="0" borderId="150" xfId="0" applyNumberFormat="1" applyFont="1" applyBorder="1" applyAlignment="1" applyProtection="1">
      <alignment horizontal="center" vertical="center"/>
      <protection locked="0"/>
    </xf>
    <xf numFmtId="2" fontId="15" fillId="2" borderId="151" xfId="0" applyNumberFormat="1" applyFont="1" applyFill="1" applyBorder="1" applyAlignment="1" applyProtection="1">
      <alignment horizontal="center" vertical="center"/>
    </xf>
    <xf numFmtId="2" fontId="10" fillId="0" borderId="81" xfId="0" applyNumberFormat="1" applyFont="1" applyBorder="1" applyAlignment="1" applyProtection="1">
      <alignment horizontal="center" vertical="center"/>
      <protection locked="0"/>
    </xf>
    <xf numFmtId="2" fontId="15" fillId="4" borderId="145" xfId="0" applyNumberFormat="1" applyFont="1" applyFill="1" applyBorder="1" applyAlignment="1">
      <alignment horizontal="center" vertical="center" wrapText="1"/>
    </xf>
    <xf numFmtId="2" fontId="15" fillId="2" borderId="146" xfId="0" applyNumberFormat="1" applyFont="1" applyFill="1" applyBorder="1" applyAlignment="1" applyProtection="1">
      <alignment horizontal="center" vertical="center" wrapText="1"/>
    </xf>
    <xf numFmtId="2" fontId="15" fillId="4" borderId="147" xfId="0" applyNumberFormat="1" applyFont="1" applyFill="1" applyBorder="1" applyAlignment="1">
      <alignment horizontal="center" vertical="center" wrapText="1"/>
    </xf>
    <xf numFmtId="2" fontId="15" fillId="2" borderId="96" xfId="0" applyNumberFormat="1" applyFont="1" applyFill="1" applyBorder="1" applyAlignment="1" applyProtection="1">
      <alignment horizontal="center" vertical="center" wrapText="1"/>
    </xf>
    <xf numFmtId="2" fontId="10" fillId="0" borderId="147" xfId="0" applyNumberFormat="1" applyFont="1" applyBorder="1" applyAlignment="1" applyProtection="1">
      <alignment horizontal="center" vertical="center" wrapText="1"/>
      <protection locked="0"/>
    </xf>
    <xf numFmtId="2" fontId="10" fillId="2" borderId="96" xfId="0" applyNumberFormat="1" applyFont="1" applyFill="1" applyBorder="1" applyAlignment="1" applyProtection="1">
      <alignment horizontal="center" vertical="center" wrapText="1"/>
    </xf>
    <xf numFmtId="2" fontId="15" fillId="4" borderId="95" xfId="0" applyNumberFormat="1" applyFont="1" applyFill="1" applyBorder="1" applyAlignment="1">
      <alignment horizontal="center" vertical="center" wrapText="1"/>
    </xf>
    <xf numFmtId="2" fontId="10" fillId="0" borderId="99" xfId="0" applyNumberFormat="1" applyFont="1" applyBorder="1" applyAlignment="1" applyProtection="1">
      <alignment horizontal="center" vertical="center" wrapText="1"/>
      <protection locked="0"/>
    </xf>
    <xf numFmtId="2" fontId="10" fillId="0" borderId="95" xfId="0" applyNumberFormat="1" applyFont="1" applyBorder="1" applyAlignment="1" applyProtection="1">
      <alignment horizontal="center" vertical="center" wrapText="1"/>
      <protection locked="0"/>
    </xf>
    <xf numFmtId="4" fontId="15" fillId="4" borderId="5" xfId="0" applyNumberFormat="1" applyFont="1" applyFill="1" applyBorder="1" applyAlignment="1">
      <alignment horizontal="center" vertical="center" wrapText="1"/>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4" fontId="15" fillId="5" borderId="152" xfId="0" applyNumberFormat="1" applyFont="1" applyFill="1" applyBorder="1" applyAlignment="1" applyProtection="1">
      <alignment horizontal="center" vertical="center" wrapText="1"/>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5" fillId="2" borderId="153"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protection locked="0"/>
    </xf>
    <xf numFmtId="4" fontId="15" fillId="5" borderId="5" xfId="0" applyNumberFormat="1" applyFont="1" applyFill="1" applyBorder="1" applyAlignment="1" applyProtection="1">
      <alignment horizontal="center" vertical="center" wrapText="1"/>
    </xf>
    <xf numFmtId="2" fontId="15" fillId="2" borderId="5" xfId="0" applyNumberFormat="1" applyFont="1" applyFill="1" applyBorder="1" applyAlignment="1" applyProtection="1">
      <alignment horizontal="center" vertical="center"/>
    </xf>
    <xf numFmtId="0" fontId="30" fillId="0" borderId="0" xfId="1" applyFont="1"/>
    <xf numFmtId="0" fontId="51" fillId="0" borderId="4" xfId="10" applyBorder="1"/>
    <xf numFmtId="0" fontId="30" fillId="0" borderId="4" xfId="10" applyFont="1" applyBorder="1"/>
    <xf numFmtId="0" fontId="18" fillId="2" borderId="5" xfId="10" applyFont="1" applyFill="1" applyBorder="1" applyAlignment="1">
      <alignment horizontal="center" vertical="center"/>
    </xf>
    <xf numFmtId="0" fontId="15" fillId="2" borderId="137" xfId="10" applyFont="1" applyFill="1" applyBorder="1" applyAlignment="1">
      <alignment horizontal="center" vertical="center"/>
    </xf>
    <xf numFmtId="168" fontId="15" fillId="2" borderId="86" xfId="10" applyNumberFormat="1" applyFont="1" applyFill="1" applyBorder="1" applyAlignment="1">
      <alignment horizontal="center" vertical="center" wrapText="1"/>
    </xf>
    <xf numFmtId="3" fontId="15" fillId="2" borderId="15" xfId="10" applyNumberFormat="1" applyFont="1" applyFill="1" applyBorder="1" applyAlignment="1">
      <alignment horizontal="center" vertical="center" wrapText="1"/>
    </xf>
    <xf numFmtId="0" fontId="30" fillId="0" borderId="0" xfId="10" applyFont="1" applyAlignment="1">
      <alignment wrapText="1"/>
    </xf>
    <xf numFmtId="0" fontId="15" fillId="2" borderId="40" xfId="10" applyFont="1" applyFill="1" applyBorder="1" applyAlignment="1">
      <alignment horizontal="center" vertical="center"/>
    </xf>
    <xf numFmtId="0" fontId="15" fillId="2" borderId="41" xfId="10" applyFont="1" applyFill="1" applyBorder="1" applyAlignment="1">
      <alignment horizontal="center" vertical="center"/>
    </xf>
    <xf numFmtId="0" fontId="31" fillId="0" borderId="0" xfId="10" applyFont="1" applyAlignment="1">
      <alignment horizontal="center" vertical="center"/>
    </xf>
    <xf numFmtId="0" fontId="15" fillId="2" borderId="19" xfId="10" applyFont="1" applyFill="1" applyBorder="1" applyAlignment="1">
      <alignment horizontal="center" vertical="center"/>
    </xf>
    <xf numFmtId="0" fontId="15" fillId="2" borderId="20" xfId="10" applyFont="1" applyFill="1" applyBorder="1" applyAlignment="1">
      <alignment horizontal="center" vertical="center"/>
    </xf>
    <xf numFmtId="168" fontId="15" fillId="0" borderId="21" xfId="10" applyNumberFormat="1" applyFont="1" applyBorder="1" applyAlignment="1" applyProtection="1">
      <alignment horizontal="center" vertical="center"/>
      <protection locked="0"/>
    </xf>
    <xf numFmtId="0" fontId="32" fillId="0" borderId="0" xfId="10" applyFont="1" applyAlignment="1">
      <alignment horizontal="center" vertical="center"/>
    </xf>
    <xf numFmtId="0" fontId="15" fillId="2" borderId="22" xfId="10" applyFont="1" applyFill="1" applyBorder="1" applyAlignment="1">
      <alignment horizontal="center" vertical="center"/>
    </xf>
    <xf numFmtId="0" fontId="15" fillId="2" borderId="23" xfId="10" applyFont="1" applyFill="1" applyBorder="1" applyAlignment="1">
      <alignment horizontal="center" vertical="center"/>
    </xf>
    <xf numFmtId="0" fontId="15" fillId="2" borderId="38" xfId="10" applyFont="1" applyFill="1" applyBorder="1" applyAlignment="1">
      <alignment horizontal="center" vertical="center"/>
    </xf>
    <xf numFmtId="168" fontId="15" fillId="0" borderId="24" xfId="10" applyNumberFormat="1" applyFont="1" applyBorder="1" applyAlignment="1" applyProtection="1">
      <alignment horizontal="center" vertical="center"/>
      <protection locked="0"/>
    </xf>
    <xf numFmtId="0" fontId="33" fillId="0" borderId="0" xfId="10" applyFont="1" applyAlignment="1">
      <alignment horizontal="center" vertical="center"/>
    </xf>
    <xf numFmtId="0" fontId="10" fillId="2" borderId="22" xfId="10" applyFont="1" applyFill="1" applyBorder="1" applyAlignment="1">
      <alignment horizontal="center" vertical="center"/>
    </xf>
    <xf numFmtId="0" fontId="10" fillId="2" borderId="23" xfId="10" applyFont="1" applyFill="1" applyBorder="1" applyAlignment="1">
      <alignment horizontal="center" vertical="center"/>
    </xf>
    <xf numFmtId="168" fontId="10" fillId="0" borderId="24" xfId="10" applyNumberFormat="1" applyFont="1" applyBorder="1" applyAlignment="1" applyProtection="1">
      <alignment horizontal="center" vertical="center"/>
      <protection locked="0"/>
    </xf>
    <xf numFmtId="0" fontId="10" fillId="2" borderId="26" xfId="10" applyFont="1" applyFill="1" applyBorder="1" applyAlignment="1">
      <alignment horizontal="center" vertical="center"/>
    </xf>
    <xf numFmtId="0" fontId="10" fillId="2" borderId="39" xfId="10" applyFont="1" applyFill="1" applyBorder="1" applyAlignment="1">
      <alignment horizontal="center" vertical="center"/>
    </xf>
    <xf numFmtId="0" fontId="10" fillId="2" borderId="34" xfId="10" applyFont="1" applyFill="1" applyBorder="1" applyAlignment="1">
      <alignment horizontal="center" vertical="center"/>
    </xf>
    <xf numFmtId="168" fontId="10" fillId="0" borderId="35" xfId="10" applyNumberFormat="1" applyFont="1" applyBorder="1" applyAlignment="1" applyProtection="1">
      <alignment horizontal="center" vertical="center"/>
      <protection locked="0"/>
    </xf>
    <xf numFmtId="0" fontId="28" fillId="0" borderId="0" xfId="10" applyFont="1" applyAlignment="1">
      <alignment horizontal="center" vertical="center"/>
    </xf>
    <xf numFmtId="1" fontId="10" fillId="2" borderId="22" xfId="10" applyNumberFormat="1" applyFont="1" applyFill="1" applyBorder="1" applyAlignment="1">
      <alignment horizontal="center" vertical="center"/>
    </xf>
    <xf numFmtId="1" fontId="10" fillId="2" borderId="23" xfId="10" applyNumberFormat="1" applyFont="1" applyFill="1" applyBorder="1" applyAlignment="1">
      <alignment horizontal="right" vertical="center"/>
    </xf>
    <xf numFmtId="1" fontId="10" fillId="2" borderId="23" xfId="10" applyNumberFormat="1" applyFont="1" applyFill="1" applyBorder="1" applyAlignment="1">
      <alignment horizontal="center" vertical="center"/>
    </xf>
    <xf numFmtId="3" fontId="10" fillId="0" borderId="24" xfId="10" applyNumberFormat="1" applyFont="1" applyBorder="1" applyAlignment="1" applyProtection="1">
      <alignment horizontal="center" vertical="center"/>
      <protection locked="0"/>
    </xf>
    <xf numFmtId="1" fontId="32" fillId="0" borderId="0" xfId="10" applyNumberFormat="1" applyFont="1" applyAlignment="1">
      <alignment horizontal="center" vertical="center"/>
    </xf>
    <xf numFmtId="1" fontId="28" fillId="0" borderId="0" xfId="10" applyNumberFormat="1" applyFont="1" applyAlignment="1">
      <alignment horizontal="center" vertical="center"/>
    </xf>
    <xf numFmtId="0" fontId="10" fillId="2" borderId="23" xfId="10" applyFont="1" applyFill="1" applyBorder="1" applyAlignment="1">
      <alignment horizontal="right" vertical="center"/>
    </xf>
    <xf numFmtId="0" fontId="32" fillId="0" borderId="0" xfId="10" applyFont="1" applyAlignment="1">
      <alignment horizontal="right" vertical="center"/>
    </xf>
    <xf numFmtId="0" fontId="28" fillId="0" borderId="0" xfId="10" applyFont="1" applyAlignment="1">
      <alignment horizontal="right" vertical="center"/>
    </xf>
    <xf numFmtId="0" fontId="15" fillId="2" borderId="39" xfId="10" applyFont="1" applyFill="1" applyBorder="1" applyAlignment="1">
      <alignment horizontal="center" vertical="center"/>
    </xf>
    <xf numFmtId="0" fontId="15" fillId="2" borderId="34" xfId="10" applyFont="1" applyFill="1" applyBorder="1" applyAlignment="1">
      <alignment horizontal="right" vertical="center"/>
    </xf>
    <xf numFmtId="1" fontId="15" fillId="2" borderId="34" xfId="10" applyNumberFormat="1" applyFont="1" applyFill="1" applyBorder="1" applyAlignment="1">
      <alignment horizontal="center" vertical="center"/>
    </xf>
    <xf numFmtId="168" fontId="15" fillId="0" borderId="35" xfId="10" applyNumberFormat="1" applyFont="1" applyBorder="1" applyAlignment="1" applyProtection="1">
      <alignment horizontal="center" vertical="center"/>
      <protection locked="0"/>
    </xf>
    <xf numFmtId="0" fontId="15" fillId="2" borderId="23" xfId="10" applyFont="1" applyFill="1" applyBorder="1" applyAlignment="1">
      <alignment horizontal="right" vertical="center"/>
    </xf>
    <xf numFmtId="3" fontId="15" fillId="0" borderId="24" xfId="10" applyNumberFormat="1" applyFont="1" applyBorder="1" applyAlignment="1" applyProtection="1">
      <alignment horizontal="center" vertical="center"/>
      <protection locked="0"/>
    </xf>
    <xf numFmtId="168" fontId="34" fillId="0" borderId="0" xfId="10" applyNumberFormat="1" applyFont="1" applyAlignment="1">
      <alignment vertical="center"/>
    </xf>
    <xf numFmtId="168" fontId="28" fillId="0" borderId="0" xfId="10" applyNumberFormat="1" applyFont="1" applyAlignment="1">
      <alignment horizontal="center" vertical="center"/>
    </xf>
    <xf numFmtId="0" fontId="15" fillId="2" borderId="22" xfId="10" applyFont="1" applyFill="1" applyBorder="1" applyAlignment="1">
      <alignment horizontal="center" vertical="center" wrapText="1"/>
    </xf>
    <xf numFmtId="0" fontId="35" fillId="0" borderId="0" xfId="10" applyFont="1" applyAlignment="1">
      <alignment horizontal="left" vertical="center"/>
    </xf>
    <xf numFmtId="0" fontId="10" fillId="2" borderId="22" xfId="10" applyFont="1" applyFill="1" applyBorder="1" applyAlignment="1">
      <alignment horizontal="center" vertical="center" wrapText="1"/>
    </xf>
    <xf numFmtId="0" fontId="10" fillId="2" borderId="23" xfId="10" applyFont="1" applyFill="1" applyBorder="1" applyAlignment="1">
      <alignment horizontal="right" vertical="center" wrapText="1"/>
    </xf>
    <xf numFmtId="0" fontId="10" fillId="2" borderId="50" xfId="10" applyFont="1" applyFill="1" applyBorder="1" applyAlignment="1">
      <alignment horizontal="right" vertical="center"/>
    </xf>
    <xf numFmtId="0" fontId="36" fillId="0" borderId="0" xfId="10" applyFont="1" applyAlignment="1">
      <alignment horizontal="left" vertical="center"/>
    </xf>
    <xf numFmtId="0" fontId="15" fillId="2" borderId="50" xfId="10" applyFont="1" applyFill="1" applyBorder="1" applyAlignment="1">
      <alignment horizontal="right" vertical="center"/>
    </xf>
    <xf numFmtId="0" fontId="20" fillId="2" borderId="23" xfId="10" applyFont="1" applyFill="1" applyBorder="1" applyAlignment="1">
      <alignment horizontal="right" vertical="center"/>
    </xf>
    <xf numFmtId="0" fontId="20" fillId="2" borderId="23" xfId="10" applyFont="1" applyFill="1" applyBorder="1" applyAlignment="1">
      <alignment horizontal="center" vertical="center"/>
    </xf>
    <xf numFmtId="168" fontId="20" fillId="0" borderId="24" xfId="10" applyNumberFormat="1" applyFont="1" applyBorder="1" applyAlignment="1" applyProtection="1">
      <alignment horizontal="center" vertical="center"/>
      <protection locked="0"/>
    </xf>
    <xf numFmtId="0" fontId="37" fillId="0" borderId="0" xfId="10" applyFont="1" applyAlignment="1">
      <alignment horizontal="right" vertical="center"/>
    </xf>
    <xf numFmtId="1" fontId="15" fillId="2" borderId="23" xfId="10" applyNumberFormat="1" applyFont="1" applyFill="1" applyBorder="1" applyAlignment="1">
      <alignment horizontal="center" vertical="center"/>
    </xf>
    <xf numFmtId="0" fontId="38" fillId="0" borderId="0" xfId="0" applyFont="1"/>
    <xf numFmtId="0" fontId="10" fillId="2" borderId="38" xfId="10" applyFont="1" applyFill="1" applyBorder="1" applyAlignment="1">
      <alignment horizontal="center" vertical="center"/>
    </xf>
    <xf numFmtId="168" fontId="10" fillId="2" borderId="24" xfId="10" applyNumberFormat="1" applyFont="1" applyFill="1" applyBorder="1" applyAlignment="1">
      <alignment horizontal="center" vertical="center"/>
    </xf>
    <xf numFmtId="0" fontId="20" fillId="2" borderId="22" xfId="10" applyFont="1" applyFill="1" applyBorder="1" applyAlignment="1">
      <alignment horizontal="center" vertical="center"/>
    </xf>
    <xf numFmtId="3" fontId="10" fillId="2" borderId="24" xfId="10" applyNumberFormat="1" applyFont="1" applyFill="1" applyBorder="1" applyAlignment="1">
      <alignment horizontal="center" vertical="center"/>
    </xf>
    <xf numFmtId="3" fontId="20" fillId="0" borderId="24" xfId="10" applyNumberFormat="1" applyFont="1" applyBorder="1" applyAlignment="1" applyProtection="1">
      <alignment horizontal="center" vertical="center"/>
      <protection locked="0"/>
    </xf>
    <xf numFmtId="3" fontId="10" fillId="0" borderId="35" xfId="10" applyNumberFormat="1" applyFont="1" applyBorder="1" applyAlignment="1" applyProtection="1">
      <alignment horizontal="center" vertical="center"/>
      <protection locked="0"/>
    </xf>
    <xf numFmtId="0" fontId="39" fillId="0" borderId="0" xfId="10" applyFont="1" applyAlignment="1">
      <alignment horizontal="center" vertical="center"/>
    </xf>
    <xf numFmtId="0" fontId="40" fillId="0" borderId="0" xfId="10" applyFont="1" applyAlignment="1">
      <alignment horizontal="right" vertical="center"/>
    </xf>
    <xf numFmtId="0" fontId="33" fillId="0" borderId="0" xfId="10" applyFont="1" applyAlignment="1">
      <alignment horizontal="right" vertical="center"/>
    </xf>
    <xf numFmtId="0" fontId="10" fillId="2" borderId="55" xfId="10" applyFont="1" applyFill="1" applyBorder="1" applyAlignment="1">
      <alignment horizontal="right" vertical="center"/>
    </xf>
    <xf numFmtId="3" fontId="10" fillId="0" borderId="31" xfId="10" applyNumberFormat="1" applyFont="1" applyBorder="1" applyAlignment="1" applyProtection="1">
      <alignment horizontal="center" vertical="center"/>
      <protection locked="0"/>
    </xf>
    <xf numFmtId="0" fontId="10" fillId="2" borderId="58" xfId="10" applyFont="1" applyFill="1" applyBorder="1" applyAlignment="1">
      <alignment horizontal="right" vertical="center"/>
    </xf>
    <xf numFmtId="0" fontId="10" fillId="2" borderId="58" xfId="10" applyFont="1" applyFill="1" applyBorder="1" applyAlignment="1">
      <alignment horizontal="center" vertical="center"/>
    </xf>
    <xf numFmtId="0" fontId="41" fillId="0" borderId="0" xfId="10" applyFont="1" applyAlignment="1">
      <alignment vertical="center"/>
    </xf>
    <xf numFmtId="0" fontId="10" fillId="2" borderId="25" xfId="10" applyFont="1" applyFill="1" applyBorder="1" applyAlignment="1">
      <alignment horizontal="center" vertical="center"/>
    </xf>
    <xf numFmtId="0" fontId="10" fillId="2" borderId="62" xfId="10" applyFont="1" applyFill="1" applyBorder="1" applyAlignment="1">
      <alignment horizontal="center" vertical="center"/>
    </xf>
    <xf numFmtId="3" fontId="10" fillId="0" borderId="27" xfId="10" applyNumberFormat="1" applyFont="1" applyBorder="1" applyAlignment="1" applyProtection="1">
      <alignment horizontal="center" vertical="center"/>
      <protection locked="0"/>
    </xf>
    <xf numFmtId="0" fontId="21" fillId="2" borderId="22" xfId="10" applyFont="1" applyFill="1" applyBorder="1" applyAlignment="1">
      <alignment horizontal="center" vertical="center"/>
    </xf>
    <xf numFmtId="0" fontId="21" fillId="2" borderId="134" xfId="10" applyFont="1" applyFill="1" applyBorder="1" applyAlignment="1">
      <alignment horizontal="right" vertical="center"/>
    </xf>
    <xf numFmtId="0" fontId="21" fillId="2" borderId="134" xfId="10" applyFont="1" applyFill="1" applyBorder="1" applyAlignment="1">
      <alignment vertical="center"/>
    </xf>
    <xf numFmtId="3" fontId="10" fillId="2" borderId="57" xfId="10" applyNumberFormat="1" applyFont="1" applyFill="1" applyBorder="1" applyAlignment="1">
      <alignment horizontal="center" vertical="center"/>
    </xf>
    <xf numFmtId="0" fontId="10" fillId="2" borderId="37" xfId="10" applyFont="1" applyFill="1" applyBorder="1" applyAlignment="1">
      <alignment horizontal="center" vertical="center"/>
    </xf>
    <xf numFmtId="168" fontId="10" fillId="0" borderId="31" xfId="10" applyNumberFormat="1" applyFont="1" applyBorder="1" applyAlignment="1" applyProtection="1">
      <alignment horizontal="center" vertical="center"/>
      <protection locked="0"/>
    </xf>
    <xf numFmtId="0" fontId="10" fillId="2" borderId="62" xfId="10" applyFont="1" applyFill="1" applyBorder="1" applyAlignment="1">
      <alignment horizontal="right" vertical="center"/>
    </xf>
    <xf numFmtId="168" fontId="10" fillId="0" borderId="27" xfId="10" applyNumberFormat="1" applyFont="1" applyBorder="1" applyAlignment="1" applyProtection="1">
      <alignment horizontal="center" vertical="center"/>
      <protection locked="0"/>
    </xf>
    <xf numFmtId="168" fontId="10" fillId="2" borderId="57" xfId="10" applyNumberFormat="1" applyFont="1" applyFill="1" applyBorder="1" applyAlignment="1">
      <alignment horizontal="center" vertical="center"/>
    </xf>
    <xf numFmtId="0" fontId="21" fillId="2" borderId="129" xfId="10" applyFont="1" applyFill="1" applyBorder="1" applyAlignment="1">
      <alignment horizontal="center" vertical="center"/>
    </xf>
    <xf numFmtId="3" fontId="10" fillId="2" borderId="104" xfId="10" applyNumberFormat="1" applyFont="1" applyFill="1" applyBorder="1" applyAlignment="1">
      <alignment horizontal="center" vertical="center"/>
    </xf>
    <xf numFmtId="168" fontId="10" fillId="2" borderId="27" xfId="10" applyNumberFormat="1" applyFont="1" applyFill="1" applyBorder="1" applyAlignment="1">
      <alignment horizontal="center" vertical="center"/>
    </xf>
    <xf numFmtId="0" fontId="10" fillId="2" borderId="33" xfId="10" applyFont="1" applyFill="1" applyBorder="1" applyAlignment="1">
      <alignment horizontal="center" vertical="center"/>
    </xf>
    <xf numFmtId="0" fontId="10" fillId="2" borderId="126" xfId="10" applyFont="1" applyFill="1" applyBorder="1" applyAlignment="1">
      <alignment horizontal="center" vertical="center"/>
    </xf>
    <xf numFmtId="168" fontId="10" fillId="2" borderId="35" xfId="10" applyNumberFormat="1" applyFont="1" applyFill="1" applyBorder="1" applyAlignment="1">
      <alignment horizontal="center" vertical="center"/>
    </xf>
    <xf numFmtId="0" fontId="10" fillId="2" borderId="19" xfId="10" applyFont="1" applyFill="1" applyBorder="1" applyAlignment="1">
      <alignment horizontal="center" vertical="center"/>
    </xf>
    <xf numFmtId="0" fontId="10" fillId="2" borderId="136" xfId="10" applyFont="1" applyFill="1" applyBorder="1" applyAlignment="1">
      <alignment horizontal="center" vertical="center"/>
    </xf>
    <xf numFmtId="168" fontId="10" fillId="0" borderId="21" xfId="10" applyNumberFormat="1" applyFont="1" applyBorder="1" applyAlignment="1" applyProtection="1">
      <alignment horizontal="center" vertical="center"/>
      <protection locked="0"/>
    </xf>
    <xf numFmtId="0" fontId="20" fillId="2" borderId="25" xfId="10" applyFont="1" applyFill="1" applyBorder="1" applyAlignment="1">
      <alignment horizontal="center" vertical="center"/>
    </xf>
    <xf numFmtId="0" fontId="20" fillId="2" borderId="62" xfId="10" applyFont="1" applyFill="1" applyBorder="1" applyAlignment="1">
      <alignment horizontal="center" vertical="center"/>
    </xf>
    <xf numFmtId="0" fontId="20" fillId="2" borderId="26" xfId="10" applyFont="1" applyFill="1" applyBorder="1" applyAlignment="1">
      <alignment horizontal="center" vertical="center"/>
    </xf>
    <xf numFmtId="0" fontId="10" fillId="2" borderId="136" xfId="10" applyFont="1" applyFill="1" applyBorder="1" applyAlignment="1">
      <alignment vertical="center"/>
    </xf>
    <xf numFmtId="0" fontId="10" fillId="2" borderId="134" xfId="10" applyFont="1" applyFill="1" applyBorder="1" applyAlignment="1">
      <alignment vertical="center"/>
    </xf>
    <xf numFmtId="168" fontId="20" fillId="2" borderId="23" xfId="10" applyNumberFormat="1" applyFont="1" applyFill="1" applyBorder="1" applyAlignment="1">
      <alignment horizontal="center" vertical="center"/>
    </xf>
    <xf numFmtId="172" fontId="10" fillId="0" borderId="24" xfId="10" applyNumberFormat="1" applyFont="1" applyBorder="1" applyAlignment="1" applyProtection="1">
      <alignment horizontal="center" vertical="center"/>
      <protection locked="0"/>
    </xf>
    <xf numFmtId="0" fontId="10" fillId="2" borderId="129" xfId="10" applyFont="1" applyFill="1" applyBorder="1" applyAlignment="1">
      <alignment horizontal="center" vertical="center"/>
    </xf>
    <xf numFmtId="0" fontId="10" fillId="2" borderId="144" xfId="10" applyFont="1" applyFill="1" applyBorder="1" applyAlignment="1">
      <alignment horizontal="left" vertical="center"/>
    </xf>
    <xf numFmtId="0" fontId="10" fillId="2" borderId="130" xfId="10" applyFont="1" applyFill="1" applyBorder="1" applyAlignment="1">
      <alignment horizontal="center" vertical="center"/>
    </xf>
    <xf numFmtId="3" fontId="10" fillId="0" borderId="103" xfId="10" applyNumberFormat="1" applyFont="1" applyBorder="1" applyAlignment="1" applyProtection="1">
      <alignment horizontal="center" vertical="center"/>
      <protection locked="0"/>
    </xf>
    <xf numFmtId="0" fontId="21" fillId="2" borderId="19" xfId="10" applyFont="1" applyFill="1" applyBorder="1" applyAlignment="1">
      <alignment horizontal="center" vertical="center"/>
    </xf>
    <xf numFmtId="0" fontId="21" fillId="2" borderId="136" xfId="10" applyFont="1" applyFill="1" applyBorder="1" applyAlignment="1">
      <alignment horizontal="right" vertical="center"/>
    </xf>
    <xf numFmtId="4" fontId="15" fillId="2" borderId="53" xfId="10" applyNumberFormat="1" applyFont="1" applyFill="1" applyBorder="1" applyAlignment="1">
      <alignment horizontal="center" vertical="center"/>
    </xf>
    <xf numFmtId="0" fontId="10" fillId="2" borderId="148" xfId="10" applyFont="1" applyFill="1" applyBorder="1" applyAlignment="1">
      <alignment vertical="center"/>
    </xf>
    <xf numFmtId="0" fontId="10" fillId="2" borderId="0" xfId="10" applyFont="1" applyFill="1" applyAlignment="1">
      <alignment vertical="center"/>
    </xf>
    <xf numFmtId="0" fontId="10" fillId="2" borderId="62" xfId="10" applyFont="1" applyFill="1" applyBorder="1" applyAlignment="1">
      <alignment horizontal="left" vertical="center"/>
    </xf>
    <xf numFmtId="168" fontId="10" fillId="2" borderId="53" xfId="10" applyNumberFormat="1" applyFont="1" applyFill="1" applyBorder="1" applyAlignment="1">
      <alignment horizontal="center" vertical="center"/>
    </xf>
    <xf numFmtId="3" fontId="20" fillId="2" borderId="53" xfId="10" applyNumberFormat="1" applyFont="1" applyFill="1" applyBorder="1" applyAlignment="1">
      <alignment horizontal="center" vertical="center"/>
    </xf>
    <xf numFmtId="0" fontId="10" fillId="2" borderId="58" xfId="10" applyFont="1" applyFill="1" applyBorder="1" applyAlignment="1">
      <alignment horizontal="left" vertical="center"/>
    </xf>
    <xf numFmtId="0" fontId="21" fillId="2" borderId="54" xfId="10" applyFont="1" applyFill="1" applyBorder="1" applyAlignment="1">
      <alignment horizontal="right" vertical="center"/>
    </xf>
    <xf numFmtId="0" fontId="21" fillId="2" borderId="20" xfId="10" applyFont="1" applyFill="1" applyBorder="1" applyAlignment="1">
      <alignment horizontal="right" vertical="center"/>
    </xf>
    <xf numFmtId="168" fontId="10" fillId="2" borderId="21" xfId="10" applyNumberFormat="1" applyFont="1" applyFill="1" applyBorder="1" applyAlignment="1">
      <alignment horizontal="center" vertical="center"/>
    </xf>
    <xf numFmtId="0" fontId="10" fillId="2" borderId="148" xfId="10" applyFont="1" applyFill="1" applyBorder="1" applyAlignment="1">
      <alignment horizontal="left" vertical="center"/>
    </xf>
    <xf numFmtId="0" fontId="10" fillId="2" borderId="134" xfId="10" applyFont="1" applyFill="1" applyBorder="1" applyAlignment="1">
      <alignment horizontal="left" vertical="center"/>
    </xf>
    <xf numFmtId="0" fontId="10" fillId="2" borderId="83" xfId="10" applyFont="1" applyFill="1" applyBorder="1" applyAlignment="1">
      <alignment horizontal="left" vertical="center"/>
    </xf>
    <xf numFmtId="16" fontId="10" fillId="2" borderId="22" xfId="10" applyNumberFormat="1" applyFont="1" applyFill="1" applyBorder="1" applyAlignment="1">
      <alignment horizontal="center" vertical="center"/>
    </xf>
    <xf numFmtId="0" fontId="10" fillId="2" borderId="84" xfId="10" applyFont="1" applyFill="1" applyBorder="1" applyAlignment="1">
      <alignment horizontal="left" vertical="center"/>
    </xf>
    <xf numFmtId="0" fontId="42" fillId="0" borderId="0" xfId="10" applyFont="1" applyAlignment="1">
      <alignment wrapText="1"/>
    </xf>
    <xf numFmtId="0" fontId="10" fillId="2" borderId="28" xfId="10" applyFont="1" applyFill="1" applyBorder="1" applyAlignment="1">
      <alignment horizontal="left" vertical="center"/>
    </xf>
    <xf numFmtId="168" fontId="10" fillId="2" borderId="20" xfId="10" applyNumberFormat="1" applyFont="1" applyFill="1" applyBorder="1" applyAlignment="1">
      <alignment horizontal="center" vertical="center"/>
    </xf>
    <xf numFmtId="3" fontId="10" fillId="2" borderId="21" xfId="10" applyNumberFormat="1" applyFont="1" applyFill="1" applyBorder="1" applyAlignment="1">
      <alignment horizontal="center" vertical="center"/>
    </xf>
    <xf numFmtId="168" fontId="10" fillId="2" borderId="23" xfId="10" applyNumberFormat="1"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4" xfId="10" applyFont="1" applyFill="1" applyBorder="1" applyAlignment="1">
      <alignment horizontal="right" vertical="center"/>
    </xf>
    <xf numFmtId="168" fontId="20" fillId="2" borderId="34" xfId="10" applyNumberFormat="1" applyFont="1" applyFill="1" applyBorder="1" applyAlignment="1">
      <alignment horizontal="center" vertical="center"/>
    </xf>
    <xf numFmtId="3" fontId="20" fillId="0" borderId="35" xfId="10" applyNumberFormat="1" applyFont="1" applyBorder="1" applyAlignment="1" applyProtection="1">
      <alignment horizontal="center" vertical="center"/>
      <protection locked="0"/>
    </xf>
    <xf numFmtId="0" fontId="43" fillId="0" borderId="0" xfId="10" applyFont="1" applyAlignment="1">
      <alignment horizontal="center" vertical="center"/>
    </xf>
    <xf numFmtId="0" fontId="10" fillId="0" borderId="0" xfId="10" applyFont="1" applyAlignment="1">
      <alignment horizontal="center" vertical="center"/>
    </xf>
    <xf numFmtId="3" fontId="10" fillId="0" borderId="0" xfId="10" applyNumberFormat="1" applyFont="1" applyAlignment="1">
      <alignment horizontal="center" vertical="center"/>
    </xf>
    <xf numFmtId="1" fontId="15" fillId="0" borderId="0" xfId="10" applyNumberFormat="1" applyFont="1" applyAlignment="1">
      <alignment horizontal="center" vertical="center"/>
    </xf>
    <xf numFmtId="0" fontId="1" fillId="0" borderId="0" xfId="10" applyFont="1"/>
    <xf numFmtId="0" fontId="11" fillId="0" borderId="0" xfId="10" applyFont="1" applyAlignment="1">
      <alignment horizontal="right"/>
    </xf>
    <xf numFmtId="0" fontId="44" fillId="0" borderId="0" xfId="10" applyFont="1"/>
    <xf numFmtId="0" fontId="51" fillId="0" borderId="0" xfId="10" applyAlignment="1">
      <alignment horizontal="center"/>
    </xf>
    <xf numFmtId="0" fontId="28" fillId="0" borderId="0" xfId="10" applyFont="1"/>
    <xf numFmtId="0" fontId="0" fillId="0" borderId="4" xfId="0" applyBorder="1"/>
    <xf numFmtId="0" fontId="5" fillId="0" borderId="0" xfId="0" applyFont="1" applyBorder="1"/>
    <xf numFmtId="0" fontId="46" fillId="0" borderId="0" xfId="11" applyFont="1" applyBorder="1" applyAlignment="1" applyProtection="1">
      <alignment vertical="center"/>
      <protection hidden="1"/>
    </xf>
    <xf numFmtId="4" fontId="15" fillId="2" borderId="105" xfId="0" applyNumberFormat="1" applyFont="1" applyFill="1" applyBorder="1" applyAlignment="1">
      <alignment horizontal="center" vertical="center" wrapText="1"/>
    </xf>
    <xf numFmtId="4" fontId="47" fillId="2" borderId="13" xfId="0" applyNumberFormat="1" applyFont="1" applyFill="1" applyBorder="1" applyAlignment="1">
      <alignment horizontal="center" vertical="center" wrapText="1"/>
    </xf>
    <xf numFmtId="4" fontId="47" fillId="2" borderId="14" xfId="0" applyNumberFormat="1" applyFont="1" applyFill="1" applyBorder="1" applyAlignment="1">
      <alignment horizontal="center" vertical="center" wrapText="1"/>
    </xf>
    <xf numFmtId="4" fontId="47" fillId="2" borderId="15" xfId="0" applyNumberFormat="1" applyFont="1" applyFill="1" applyBorder="1" applyAlignment="1">
      <alignment horizontal="center" vertical="center" wrapText="1"/>
    </xf>
    <xf numFmtId="4" fontId="47" fillId="2" borderId="42"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15" fillId="2" borderId="154" xfId="0" applyNumberFormat="1" applyFont="1" applyFill="1" applyBorder="1" applyAlignment="1">
      <alignment horizontal="center" vertical="center" wrapText="1"/>
    </xf>
    <xf numFmtId="4" fontId="15" fillId="2" borderId="147"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xf>
    <xf numFmtId="4" fontId="10" fillId="2" borderId="148" xfId="0" applyNumberFormat="1" applyFont="1" applyFill="1" applyBorder="1" applyAlignment="1">
      <alignment horizontal="center" vertical="center"/>
    </xf>
    <xf numFmtId="4" fontId="10" fillId="2" borderId="51" xfId="0" applyNumberFormat="1" applyFont="1" applyFill="1" applyBorder="1" applyAlignment="1">
      <alignment horizontal="center" vertical="center"/>
    </xf>
    <xf numFmtId="4" fontId="15" fillId="2" borderId="95" xfId="0" applyNumberFormat="1" applyFont="1" applyFill="1" applyBorder="1" applyAlignment="1">
      <alignment horizontal="center" vertical="center" wrapText="1"/>
    </xf>
    <xf numFmtId="4" fontId="15" fillId="2" borderId="99"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xf>
    <xf numFmtId="4" fontId="10" fillId="2" borderId="83" xfId="0" applyNumberFormat="1" applyFont="1" applyFill="1" applyBorder="1" applyAlignment="1">
      <alignment horizontal="center" vertical="center"/>
    </xf>
    <xf numFmtId="4" fontId="10" fillId="2" borderId="61" xfId="0" applyNumberFormat="1" applyFont="1" applyFill="1" applyBorder="1" applyAlignment="1">
      <alignment horizontal="center" vertical="center"/>
    </xf>
    <xf numFmtId="4" fontId="10" fillId="2" borderId="134" xfId="0" applyNumberFormat="1" applyFont="1" applyFill="1" applyBorder="1" applyAlignment="1">
      <alignment horizontal="center" vertical="center"/>
    </xf>
    <xf numFmtId="0" fontId="20" fillId="0" borderId="7" xfId="0" applyFont="1" applyBorder="1" applyAlignment="1" applyProtection="1">
      <alignment horizontal="right" wrapText="1"/>
      <protection locked="0"/>
    </xf>
    <xf numFmtId="4" fontId="15" fillId="2" borderId="152"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104" xfId="0" applyNumberFormat="1" applyFont="1" applyFill="1" applyBorder="1" applyAlignment="1">
      <alignment horizontal="center" vertical="center"/>
    </xf>
    <xf numFmtId="4" fontId="15" fillId="2" borderId="145" xfId="0" applyNumberFormat="1" applyFont="1" applyFill="1" applyBorder="1" applyAlignment="1">
      <alignment horizontal="center" vertical="center" wrapText="1"/>
    </xf>
    <xf numFmtId="4" fontId="15" fillId="2" borderId="104" xfId="0" applyNumberFormat="1" applyFont="1" applyFill="1" applyBorder="1" applyAlignment="1">
      <alignment horizontal="center" vertical="center" wrapText="1"/>
    </xf>
    <xf numFmtId="2" fontId="15" fillId="2" borderId="145" xfId="0" applyNumberFormat="1" applyFont="1" applyFill="1" applyBorder="1" applyAlignment="1">
      <alignment horizontal="center" vertical="center" wrapText="1"/>
    </xf>
    <xf numFmtId="2" fontId="15" fillId="2" borderId="147" xfId="0" applyNumberFormat="1" applyFont="1" applyFill="1" applyBorder="1" applyAlignment="1">
      <alignment horizontal="center" vertical="center" wrapText="1"/>
    </xf>
    <xf numFmtId="0" fontId="20" fillId="0" borderId="10" xfId="0" applyFont="1" applyBorder="1" applyAlignment="1" applyProtection="1">
      <alignment horizontal="right" wrapText="1"/>
      <protection locked="0"/>
    </xf>
    <xf numFmtId="4" fontId="15" fillId="2" borderId="155" xfId="0" applyNumberFormat="1" applyFont="1" applyFill="1" applyBorder="1" applyAlignment="1">
      <alignment horizontal="center" vertical="center" wrapText="1"/>
    </xf>
    <xf numFmtId="4" fontId="10" fillId="0" borderId="39"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5" fillId="2" borderId="10" xfId="0" applyNumberFormat="1" applyFont="1" applyFill="1" applyBorder="1" applyAlignment="1">
      <alignment horizontal="center" vertical="center"/>
    </xf>
    <xf numFmtId="4" fontId="10" fillId="0" borderId="140"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5" fillId="0" borderId="127" xfId="0" applyNumberFormat="1" applyFont="1" applyBorder="1" applyAlignment="1" applyProtection="1">
      <alignment horizontal="center" vertical="center" wrapText="1"/>
      <protection locked="0"/>
    </xf>
    <xf numFmtId="172" fontId="10" fillId="0" borderId="27" xfId="10" applyNumberFormat="1" applyFont="1" applyBorder="1" applyAlignment="1" applyProtection="1">
      <alignment horizontal="center" vertical="center"/>
      <protection locked="0"/>
    </xf>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Border="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6" fillId="0" borderId="0" xfId="0" applyFont="1" applyBorder="1" applyAlignment="1">
      <alignment horizontal="right" vertical="center" wrapText="1"/>
    </xf>
    <xf numFmtId="0" fontId="22" fillId="0" borderId="4" xfId="4" applyFont="1" applyBorder="1" applyAlignment="1">
      <alignment horizontal="left"/>
    </xf>
    <xf numFmtId="0" fontId="0" fillId="0" borderId="4" xfId="4" applyFont="1" applyBorder="1"/>
    <xf numFmtId="4" fontId="0" fillId="0" borderId="4" xfId="4" applyNumberFormat="1" applyFont="1" applyBorder="1"/>
    <xf numFmtId="0" fontId="0" fillId="0" borderId="1" xfId="4" applyFont="1" applyBorder="1" applyAlignment="1">
      <alignment horizontal="left"/>
    </xf>
    <xf numFmtId="0" fontId="0" fillId="0" borderId="2" xfId="4" applyFont="1" applyBorder="1" applyAlignment="1">
      <alignment horizontal="left"/>
    </xf>
    <xf numFmtId="0" fontId="0" fillId="0" borderId="3" xfId="4" applyFont="1" applyBorder="1" applyAlignment="1">
      <alignment horizontal="left"/>
    </xf>
    <xf numFmtId="0" fontId="0" fillId="0" borderId="1" xfId="4" applyFont="1" applyBorder="1"/>
    <xf numFmtId="0" fontId="0" fillId="0" borderId="2" xfId="4" applyFont="1" applyBorder="1"/>
    <xf numFmtId="0" fontId="0" fillId="0" borderId="3" xfId="4" applyFont="1"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6" fillId="0" borderId="0" xfId="0" applyFont="1" applyFill="1" applyAlignment="1" applyProtection="1">
      <alignment horizontal="right" vertical="center" wrapText="1"/>
    </xf>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168" fontId="15" fillId="2" borderId="40" xfId="6" applyNumberFormat="1" applyFont="1" applyFill="1" applyBorder="1" applyAlignment="1" applyProtection="1">
      <alignment horizontal="center" vertical="center"/>
    </xf>
    <xf numFmtId="168" fontId="15" fillId="2" borderId="41" xfId="6" applyNumberFormat="1" applyFont="1" applyFill="1" applyBorder="1" applyAlignment="1" applyProtection="1">
      <alignment horizontal="center" vertical="center"/>
    </xf>
    <xf numFmtId="1" fontId="25" fillId="0" borderId="0" xfId="7" applyNumberFormat="1" applyFont="1" applyFill="1" applyAlignment="1">
      <alignment horizontal="left" vertical="center"/>
    </xf>
    <xf numFmtId="49" fontId="11" fillId="0" borderId="0" xfId="6" applyNumberFormat="1" applyFont="1" applyFill="1" applyAlignment="1">
      <alignment horizontal="left" vertical="top" wrapText="1"/>
    </xf>
    <xf numFmtId="3" fontId="15" fillId="2" borderId="40" xfId="6" applyNumberFormat="1" applyFont="1" applyFill="1" applyBorder="1" applyAlignment="1">
      <alignment horizontal="center" vertical="center"/>
    </xf>
    <xf numFmtId="0" fontId="5" fillId="2" borderId="41" xfId="0" applyFont="1" applyFill="1" applyBorder="1" applyAlignment="1">
      <alignment horizontal="center" vertical="center"/>
    </xf>
    <xf numFmtId="2" fontId="15" fillId="2" borderId="52" xfId="6" applyNumberFormat="1" applyFont="1" applyFill="1" applyBorder="1" applyAlignment="1" applyProtection="1">
      <alignment horizontal="center" vertical="center"/>
    </xf>
    <xf numFmtId="2" fontId="15" fillId="2" borderId="53" xfId="6" applyNumberFormat="1" applyFont="1" applyFill="1" applyBorder="1" applyAlignment="1" applyProtection="1">
      <alignment horizontal="center" vertical="center"/>
    </xf>
    <xf numFmtId="2" fontId="15" fillId="2" borderId="33" xfId="6" applyNumberFormat="1" applyFont="1" applyFill="1" applyBorder="1" applyAlignment="1" applyProtection="1">
      <alignment horizontal="center" vertical="center" wrapText="1"/>
    </xf>
    <xf numFmtId="2" fontId="15" fillId="2" borderId="127" xfId="6" applyNumberFormat="1" applyFont="1" applyFill="1" applyBorder="1" applyAlignment="1" applyProtection="1">
      <alignment horizontal="center" vertical="center" wrapText="1"/>
    </xf>
    <xf numFmtId="2" fontId="15" fillId="2" borderId="52" xfId="6" applyNumberFormat="1" applyFont="1" applyFill="1" applyBorder="1" applyAlignment="1" applyProtection="1">
      <alignment horizontal="center" vertical="center" wrapText="1"/>
    </xf>
    <xf numFmtId="2" fontId="15" fillId="2" borderId="53" xfId="6" applyNumberFormat="1" applyFont="1" applyFill="1" applyBorder="1" applyAlignment="1" applyProtection="1">
      <alignment horizontal="center" vertical="center" wrapText="1"/>
    </xf>
    <xf numFmtId="2" fontId="21" fillId="2" borderId="33" xfId="6" applyNumberFormat="1" applyFont="1" applyFill="1" applyBorder="1" applyAlignment="1" applyProtection="1">
      <alignment horizontal="center" vertical="center"/>
    </xf>
    <xf numFmtId="2" fontId="21" fillId="2" borderId="127" xfId="6" applyNumberFormat="1" applyFont="1" applyFill="1" applyBorder="1" applyAlignment="1" applyProtection="1">
      <alignment horizontal="center" vertical="center"/>
    </xf>
    <xf numFmtId="2" fontId="21" fillId="2" borderId="52" xfId="6" applyNumberFormat="1" applyFont="1" applyFill="1" applyBorder="1" applyAlignment="1" applyProtection="1">
      <alignment horizontal="center" vertical="center"/>
    </xf>
    <xf numFmtId="2" fontId="21" fillId="2" borderId="53" xfId="6" applyNumberFormat="1" applyFont="1" applyFill="1" applyBorder="1" applyAlignment="1" applyProtection="1">
      <alignment horizontal="center" vertical="center"/>
    </xf>
    <xf numFmtId="2" fontId="21" fillId="2" borderId="40" xfId="6" applyNumberFormat="1" applyFont="1" applyFill="1" applyBorder="1" applyAlignment="1" applyProtection="1">
      <alignment horizontal="center" vertical="center"/>
    </xf>
    <xf numFmtId="2" fontId="21" fillId="2" borderId="41" xfId="6" applyNumberFormat="1" applyFont="1" applyFill="1" applyBorder="1" applyAlignment="1" applyProtection="1">
      <alignment horizontal="center" vertical="center"/>
    </xf>
    <xf numFmtId="0" fontId="51" fillId="0" borderId="1" xfId="6" applyBorder="1" applyAlignment="1">
      <alignment horizontal="left"/>
    </xf>
    <xf numFmtId="0" fontId="51" fillId="0" borderId="2" xfId="6" applyBorder="1" applyAlignment="1">
      <alignment horizontal="left"/>
    </xf>
    <xf numFmtId="0" fontId="51" fillId="0" borderId="3" xfId="6" applyBorder="1" applyAlignment="1">
      <alignment horizontal="left"/>
    </xf>
    <xf numFmtId="0" fontId="51" fillId="0" borderId="1" xfId="6" applyBorder="1"/>
    <xf numFmtId="0" fontId="51" fillId="0" borderId="2" xfId="6" applyBorder="1"/>
    <xf numFmtId="0" fontId="51"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51" fillId="0" borderId="1" xfId="8" applyBorder="1" applyAlignment="1">
      <alignment horizontal="left"/>
    </xf>
    <xf numFmtId="0" fontId="51" fillId="0" borderId="2" xfId="8" applyBorder="1" applyAlignment="1">
      <alignment horizontal="left"/>
    </xf>
    <xf numFmtId="0" fontId="51" fillId="0" borderId="3" xfId="8" applyBorder="1" applyAlignment="1">
      <alignment horizontal="left"/>
    </xf>
    <xf numFmtId="0" fontId="51" fillId="0" borderId="1" xfId="8" applyBorder="1"/>
    <xf numFmtId="0" fontId="51" fillId="0" borderId="2" xfId="8" applyBorder="1"/>
    <xf numFmtId="0" fontId="51" fillId="0" borderId="3" xfId="8" applyBorder="1"/>
    <xf numFmtId="0" fontId="22" fillId="0" borderId="1" xfId="8" applyFont="1" applyBorder="1" applyAlignment="1">
      <alignment horizontal="left"/>
    </xf>
    <xf numFmtId="0" fontId="22" fillId="0" borderId="2" xfId="8" applyFont="1" applyBorder="1" applyAlignment="1">
      <alignment horizontal="left"/>
    </xf>
    <xf numFmtId="0" fontId="22" fillId="0" borderId="3" xfId="8" applyFont="1" applyBorder="1" applyAlignment="1">
      <alignment horizontal="left"/>
    </xf>
    <xf numFmtId="0" fontId="36" fillId="0" borderId="85" xfId="10" applyFont="1" applyBorder="1" applyAlignment="1">
      <alignment horizontal="left" vertical="center"/>
    </xf>
    <xf numFmtId="0" fontId="51" fillId="0" borderId="1" xfId="10" applyBorder="1" applyAlignment="1">
      <alignment horizontal="left"/>
    </xf>
    <xf numFmtId="0" fontId="51" fillId="0" borderId="2" xfId="10" applyBorder="1" applyAlignment="1">
      <alignment horizontal="left"/>
    </xf>
    <xf numFmtId="0" fontId="51" fillId="0" borderId="3" xfId="10" applyBorder="1" applyAlignment="1">
      <alignment horizontal="left"/>
    </xf>
    <xf numFmtId="0" fontId="51" fillId="0" borderId="1" xfId="10" applyBorder="1"/>
    <xf numFmtId="0" fontId="51" fillId="0" borderId="2" xfId="10" applyBorder="1"/>
    <xf numFmtId="0" fontId="51" fillId="0" borderId="3" xfId="10" applyBorder="1"/>
    <xf numFmtId="0" fontId="22" fillId="0" borderId="1" xfId="10" applyFont="1" applyBorder="1" applyAlignment="1">
      <alignment horizontal="left"/>
    </xf>
    <xf numFmtId="0" fontId="22" fillId="0" borderId="2" xfId="10" applyFont="1" applyBorder="1" applyAlignment="1">
      <alignment horizontal="left"/>
    </xf>
    <xf numFmtId="0" fontId="22" fillId="0" borderId="3" xfId="1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45" fillId="0" borderId="1" xfId="0" applyFont="1" applyBorder="1" applyAlignment="1">
      <alignment horizontal="left"/>
    </xf>
    <xf numFmtId="0" fontId="45" fillId="0" borderId="2" xfId="0" applyFont="1" applyBorder="1" applyAlignment="1">
      <alignment horizontal="left"/>
    </xf>
    <xf numFmtId="0" fontId="45" fillId="0" borderId="3" xfId="0" applyFont="1" applyBorder="1" applyAlignment="1">
      <alignment horizontal="left"/>
    </xf>
  </cellXfs>
  <cellStyles count="12">
    <cellStyle name="Comma" xfId="3" builtinId="3"/>
    <cellStyle name="Comma 2" xfId="9" xr:uid="{00000000-0005-0000-0000-000009000000}"/>
    <cellStyle name="Normal" xfId="0" builtinId="0"/>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8" xr:uid="{00000000-0005-0000-0000-000008000000}"/>
    <cellStyle name="Normal 2 6" xfId="10" xr:uid="{00000000-0005-0000-0000-00000A000000}"/>
    <cellStyle name="Normal 4" xfId="2" xr:uid="{00000000-0005-0000-0000-000002000000}"/>
    <cellStyle name="Normal 5" xfId="11" xr:uid="{00000000-0005-0000-0000-00000B000000}"/>
    <cellStyle name="Normal_Kainos skaiciavimai_Kvedarna_2007" xfId="7" xr:uid="{00000000-0005-0000-0000-000007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sqref="A1:E1"/>
    </sheetView>
  </sheetViews>
  <sheetFormatPr defaultRowHeight="1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c r="A1" s="1335" t="s">
        <v>0</v>
      </c>
      <c r="B1" s="1336"/>
      <c r="C1" s="1336"/>
      <c r="D1" s="1336"/>
      <c r="E1" s="1337"/>
    </row>
    <row r="2" spans="1:5">
      <c r="A2" s="1335" t="s">
        <v>1</v>
      </c>
      <c r="B2" s="1336"/>
      <c r="C2" s="1336"/>
      <c r="D2" s="1336"/>
      <c r="E2" s="1337"/>
    </row>
    <row r="3" spans="1:5">
      <c r="A3" s="1338"/>
      <c r="B3" s="1339"/>
      <c r="C3" s="1339"/>
      <c r="D3" s="1339"/>
      <c r="E3" s="1340"/>
    </row>
    <row r="4" spans="1:5">
      <c r="A4" s="6"/>
      <c r="B4" s="6"/>
      <c r="C4" s="6"/>
      <c r="D4" s="6"/>
      <c r="E4" s="6"/>
    </row>
    <row r="5" spans="1:5">
      <c r="A5" s="1341" t="s">
        <v>2</v>
      </c>
      <c r="B5" s="1342"/>
      <c r="C5" s="1342"/>
      <c r="D5" s="1342"/>
      <c r="E5" s="1343"/>
    </row>
    <row r="6" spans="1:5">
      <c r="A6" s="6"/>
      <c r="B6" s="6"/>
      <c r="C6" s="6"/>
      <c r="D6" s="6"/>
      <c r="E6" s="6"/>
    </row>
    <row r="8" spans="1:5" ht="29.25" customHeight="1" thickBot="1">
      <c r="C8" s="1334" t="s">
        <v>3</v>
      </c>
      <c r="D8" s="1334"/>
      <c r="E8" s="1334"/>
    </row>
    <row r="9" spans="1:5" ht="15.75" thickBot="1">
      <c r="C9" s="7" t="s">
        <v>4</v>
      </c>
      <c r="D9" s="7" t="s">
        <v>5</v>
      </c>
      <c r="E9" s="8" t="s">
        <v>6</v>
      </c>
    </row>
    <row r="10" spans="1:5">
      <c r="C10" s="9" t="s">
        <v>7</v>
      </c>
      <c r="D10" s="10" t="s">
        <v>8</v>
      </c>
      <c r="E10" s="11"/>
    </row>
    <row r="11" spans="1:5">
      <c r="C11" s="9" t="s">
        <v>9</v>
      </c>
      <c r="D11" s="12" t="s">
        <v>10</v>
      </c>
      <c r="E11" s="9">
        <v>4</v>
      </c>
    </row>
    <row r="12" spans="1:5">
      <c r="C12" s="9" t="s">
        <v>9</v>
      </c>
      <c r="D12" s="12" t="s">
        <v>11</v>
      </c>
      <c r="E12" s="13" t="s">
        <v>12</v>
      </c>
    </row>
    <row r="13" spans="1:5" ht="15.75" thickBot="1">
      <c r="C13" s="14" t="s">
        <v>9</v>
      </c>
      <c r="D13" s="15" t="s">
        <v>13</v>
      </c>
      <c r="E13" s="14" t="s">
        <v>12</v>
      </c>
    </row>
    <row r="14" spans="1:5">
      <c r="C14" s="16" t="s">
        <v>14</v>
      </c>
      <c r="D14" s="17" t="s">
        <v>15</v>
      </c>
      <c r="E14" s="16"/>
    </row>
    <row r="15" spans="1:5">
      <c r="C15" s="18" t="s">
        <v>16</v>
      </c>
      <c r="D15" s="19" t="s">
        <v>17</v>
      </c>
      <c r="E15" s="18" t="s">
        <v>18</v>
      </c>
    </row>
    <row r="16" spans="1:5">
      <c r="C16" s="9" t="s">
        <v>19</v>
      </c>
      <c r="D16" s="20" t="s">
        <v>20</v>
      </c>
      <c r="E16" s="9" t="s">
        <v>21</v>
      </c>
    </row>
    <row r="17" spans="3:5">
      <c r="C17" s="9" t="s">
        <v>22</v>
      </c>
      <c r="D17" s="20" t="s">
        <v>23</v>
      </c>
      <c r="E17" s="9">
        <v>50</v>
      </c>
    </row>
    <row r="18" spans="3:5" ht="51.75" thickBot="1">
      <c r="C18" s="14" t="s">
        <v>24</v>
      </c>
      <c r="D18" s="21" t="s">
        <v>25</v>
      </c>
      <c r="E18" s="14">
        <v>35</v>
      </c>
    </row>
    <row r="19" spans="3:5">
      <c r="C19" s="16" t="s">
        <v>26</v>
      </c>
      <c r="D19" s="17" t="s">
        <v>27</v>
      </c>
      <c r="E19" s="16"/>
    </row>
    <row r="20" spans="3:5" ht="51">
      <c r="C20" s="14" t="s">
        <v>28</v>
      </c>
      <c r="D20" s="21" t="s">
        <v>29</v>
      </c>
      <c r="E20" s="14">
        <v>10</v>
      </c>
    </row>
    <row r="21" spans="3:5" ht="15.75" thickBot="1">
      <c r="C21" s="22" t="s">
        <v>30</v>
      </c>
      <c r="D21" s="23" t="s">
        <v>31</v>
      </c>
      <c r="E21" s="22">
        <v>5</v>
      </c>
    </row>
    <row r="22" spans="3:5">
      <c r="C22" s="16" t="s">
        <v>32</v>
      </c>
      <c r="D22" s="17" t="s">
        <v>33</v>
      </c>
      <c r="E22" s="16"/>
    </row>
    <row r="23" spans="3:5">
      <c r="C23" s="14" t="s">
        <v>34</v>
      </c>
      <c r="D23" s="20" t="s">
        <v>35</v>
      </c>
      <c r="E23" s="24">
        <v>6</v>
      </c>
    </row>
    <row r="24" spans="3:5" ht="26.25" thickBot="1">
      <c r="C24" s="9" t="s">
        <v>36</v>
      </c>
      <c r="D24" s="21" t="s">
        <v>37</v>
      </c>
      <c r="E24" s="9">
        <v>6</v>
      </c>
    </row>
    <row r="25" spans="3:5">
      <c r="C25" s="16" t="s">
        <v>38</v>
      </c>
      <c r="D25" s="17" t="s">
        <v>39</v>
      </c>
      <c r="E25" s="25"/>
    </row>
    <row r="26" spans="3:5">
      <c r="C26" s="9" t="s">
        <v>40</v>
      </c>
      <c r="D26" s="12" t="s">
        <v>41</v>
      </c>
      <c r="E26" s="9">
        <v>7</v>
      </c>
    </row>
    <row r="27" spans="3:5" ht="26.25" thickBot="1">
      <c r="C27" s="22" t="s">
        <v>42</v>
      </c>
      <c r="D27" s="26" t="s">
        <v>43</v>
      </c>
      <c r="E27" s="22">
        <v>10</v>
      </c>
    </row>
    <row r="28" spans="3:5">
      <c r="C28" s="27"/>
      <c r="E28" s="28"/>
    </row>
    <row r="29" spans="3:5">
      <c r="D29" s="29"/>
    </row>
  </sheetData>
  <sheetProtection password="F757"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34"/>
  <sheetViews>
    <sheetView topLeftCell="A106" zoomScale="80" zoomScaleNormal="80" workbookViewId="0">
      <selection activeCell="D113" sqref="D113"/>
    </sheetView>
  </sheetViews>
  <sheetFormatPr defaultColWidth="9.140625" defaultRowHeight="15"/>
  <cols>
    <col min="1" max="2" width="9.140625" style="5"/>
    <col min="3" max="3" width="61.42578125" style="5" customWidth="1"/>
    <col min="4" max="4" width="11" style="5" customWidth="1"/>
    <col min="5" max="5" width="14.42578125" style="5" customWidth="1"/>
    <col min="6" max="6" width="14.140625" style="5" customWidth="1"/>
    <col min="7" max="7" width="14.7109375" style="5" customWidth="1"/>
    <col min="8" max="8" width="15.5703125" style="5" customWidth="1"/>
    <col min="9" max="9" width="13.85546875" style="5" customWidth="1"/>
    <col min="10" max="10" width="11.5703125" style="5" customWidth="1"/>
    <col min="11" max="11" width="11.85546875" style="5" customWidth="1"/>
    <col min="12" max="12" width="12.140625" style="5" customWidth="1"/>
    <col min="13" max="13" width="20.85546875" style="5" customWidth="1"/>
    <col min="14" max="16" width="16.28515625" style="5" customWidth="1"/>
    <col min="17" max="17" width="23.28515625" style="5" customWidth="1"/>
    <col min="18" max="18" width="13.28515625" style="5" customWidth="1"/>
    <col min="19" max="16384" width="9.140625" style="5"/>
  </cols>
  <sheetData>
    <row r="1" spans="1:18">
      <c r="A1" s="1335" t="s">
        <v>0</v>
      </c>
      <c r="B1" s="1336"/>
      <c r="C1" s="1336"/>
      <c r="D1" s="1336"/>
      <c r="E1" s="1336"/>
      <c r="F1" s="1336"/>
      <c r="G1" s="1336"/>
      <c r="H1" s="1336"/>
      <c r="I1" s="1336"/>
      <c r="J1" s="1336"/>
      <c r="K1" s="1336"/>
      <c r="L1" s="1336"/>
      <c r="M1" s="1336"/>
      <c r="N1" s="1336"/>
      <c r="O1" s="1336"/>
      <c r="P1" s="1336"/>
      <c r="Q1" s="1337"/>
    </row>
    <row r="2" spans="1:18">
      <c r="A2" s="1335" t="s">
        <v>1</v>
      </c>
      <c r="B2" s="1336"/>
      <c r="C2" s="1336"/>
      <c r="D2" s="1336"/>
      <c r="E2" s="1336"/>
      <c r="F2" s="1336"/>
      <c r="G2" s="1336"/>
      <c r="H2" s="1336"/>
      <c r="I2" s="1336"/>
      <c r="J2" s="1336"/>
      <c r="K2" s="1336"/>
      <c r="L2" s="1336"/>
      <c r="M2" s="1336"/>
      <c r="N2" s="1336"/>
      <c r="O2" s="1336"/>
      <c r="P2" s="1336"/>
      <c r="Q2" s="1337"/>
    </row>
    <row r="3" spans="1:18">
      <c r="A3" s="1338"/>
      <c r="B3" s="1339"/>
      <c r="C3" s="1339"/>
      <c r="D3" s="1339"/>
      <c r="E3" s="1339"/>
      <c r="F3" s="1339"/>
      <c r="G3" s="1339"/>
      <c r="H3" s="1339"/>
      <c r="I3" s="1339"/>
      <c r="J3" s="1339"/>
      <c r="K3" s="1339"/>
      <c r="L3" s="1339"/>
      <c r="M3" s="1339"/>
      <c r="N3" s="1339"/>
      <c r="O3" s="1339"/>
      <c r="P3" s="1339"/>
      <c r="Q3" s="1340"/>
    </row>
    <row r="4" spans="1:18">
      <c r="A4" s="6"/>
      <c r="B4" s="6"/>
      <c r="C4" s="6"/>
      <c r="D4" s="6"/>
      <c r="E4" s="6"/>
      <c r="F4" s="6"/>
      <c r="G4" s="6"/>
      <c r="H4" s="6"/>
      <c r="I4" s="6"/>
      <c r="J4" s="6"/>
      <c r="K4" s="6"/>
      <c r="L4" s="6"/>
      <c r="M4" s="6"/>
      <c r="N4" s="6"/>
      <c r="O4" s="6"/>
      <c r="P4" s="6"/>
      <c r="Q4" s="6"/>
    </row>
    <row r="5" spans="1:18">
      <c r="A5" s="1341" t="s">
        <v>960</v>
      </c>
      <c r="B5" s="1342"/>
      <c r="C5" s="1342"/>
      <c r="D5" s="1342"/>
      <c r="E5" s="1342"/>
      <c r="F5" s="1342"/>
      <c r="G5" s="1342"/>
      <c r="H5" s="1342"/>
      <c r="I5" s="1342"/>
      <c r="J5" s="1342"/>
      <c r="K5" s="1342"/>
      <c r="L5" s="1342"/>
      <c r="M5" s="1342"/>
      <c r="N5" s="1342"/>
      <c r="O5" s="1342"/>
      <c r="P5" s="1342"/>
      <c r="Q5" s="1343"/>
    </row>
    <row r="6" spans="1:18">
      <c r="A6" s="6"/>
      <c r="B6" s="6"/>
      <c r="C6" s="6"/>
      <c r="D6" s="6"/>
      <c r="E6" s="6"/>
      <c r="F6" s="6"/>
      <c r="G6" s="6"/>
      <c r="H6" s="6"/>
      <c r="I6" s="6"/>
      <c r="J6" s="6"/>
      <c r="K6" s="6"/>
      <c r="L6" s="6"/>
      <c r="M6" s="6"/>
      <c r="N6" s="6"/>
      <c r="O6" s="6"/>
      <c r="P6" s="6"/>
      <c r="Q6" s="6"/>
    </row>
    <row r="8" spans="1:18" ht="15.75" thickBot="1">
      <c r="B8" s="1334" t="s">
        <v>961</v>
      </c>
      <c r="C8" s="1334"/>
      <c r="D8" s="1334"/>
      <c r="E8" s="1334"/>
      <c r="F8" s="1334"/>
      <c r="G8" s="1334"/>
      <c r="H8" s="1334"/>
      <c r="I8" s="1334"/>
      <c r="J8" s="1334"/>
      <c r="K8" s="1334"/>
      <c r="L8" s="1334"/>
      <c r="M8" s="1334"/>
      <c r="N8" s="1334"/>
      <c r="O8" s="1334"/>
      <c r="P8" s="1334"/>
      <c r="Q8" s="1334"/>
    </row>
    <row r="9" spans="1:18" ht="101.25" customHeight="1" thickBot="1">
      <c r="B9" s="988" t="s">
        <v>4</v>
      </c>
      <c r="C9" s="989" t="s">
        <v>52</v>
      </c>
      <c r="D9" s="990" t="s">
        <v>249</v>
      </c>
      <c r="E9" s="991" t="s">
        <v>250</v>
      </c>
      <c r="F9" s="992" t="s">
        <v>251</v>
      </c>
      <c r="G9" s="993" t="s">
        <v>252</v>
      </c>
      <c r="H9" s="994" t="s">
        <v>253</v>
      </c>
      <c r="I9" s="995" t="s">
        <v>254</v>
      </c>
      <c r="J9" s="992" t="s">
        <v>255</v>
      </c>
      <c r="K9" s="993" t="s">
        <v>256</v>
      </c>
      <c r="L9" s="996" t="s">
        <v>257</v>
      </c>
      <c r="M9" s="997" t="s">
        <v>258</v>
      </c>
      <c r="N9" s="998" t="s">
        <v>259</v>
      </c>
      <c r="O9" s="999" t="s">
        <v>260</v>
      </c>
      <c r="P9" s="999" t="s">
        <v>261</v>
      </c>
      <c r="Q9" s="1000" t="s">
        <v>262</v>
      </c>
    </row>
    <row r="10" spans="1:18">
      <c r="A10" s="1001"/>
      <c r="B10" s="1002" t="s">
        <v>51</v>
      </c>
      <c r="C10" s="1002" t="s">
        <v>589</v>
      </c>
      <c r="D10" s="1003">
        <f t="shared" ref="D10" si="0">D11+D15+D20+D23+D26+D29</f>
        <v>3741.95334</v>
      </c>
      <c r="E10" s="1004">
        <f t="shared" ref="E10:Q10" si="1">E11+E15+E20+E23+E26+E29</f>
        <v>1127.6627071253672</v>
      </c>
      <c r="F10" s="1005">
        <f t="shared" si="1"/>
        <v>84.602591829761337</v>
      </c>
      <c r="G10" s="1006">
        <f t="shared" si="1"/>
        <v>172.84343588260359</v>
      </c>
      <c r="H10" s="1007">
        <f t="shared" si="1"/>
        <v>870.21667941300223</v>
      </c>
      <c r="I10" s="1008">
        <f t="shared" si="1"/>
        <v>2593.0054255797972</v>
      </c>
      <c r="J10" s="1005">
        <f t="shared" si="1"/>
        <v>1477.2627235360314</v>
      </c>
      <c r="K10" s="1006">
        <f t="shared" si="1"/>
        <v>1068.4684384032282</v>
      </c>
      <c r="L10" s="1007">
        <f t="shared" si="1"/>
        <v>47.274263640538031</v>
      </c>
      <c r="M10" s="1009">
        <f t="shared" si="1"/>
        <v>1.4311638878351942</v>
      </c>
      <c r="N10" s="1010">
        <f t="shared" si="1"/>
        <v>19.182709490670465</v>
      </c>
      <c r="O10" s="1006">
        <f t="shared" si="1"/>
        <v>19.182709490670465</v>
      </c>
      <c r="P10" s="1007">
        <f t="shared" si="1"/>
        <v>0</v>
      </c>
      <c r="Q10" s="1004">
        <f t="shared" si="1"/>
        <v>0.67133391632938255</v>
      </c>
      <c r="R10" s="28"/>
    </row>
    <row r="11" spans="1:18">
      <c r="B11" s="1011" t="s">
        <v>96</v>
      </c>
      <c r="C11" s="1012" t="s">
        <v>8</v>
      </c>
      <c r="D11" s="1013">
        <f>E11+I11+M11+N11+Q11</f>
        <v>12.152930000000001</v>
      </c>
      <c r="E11" s="1014">
        <f t="shared" ref="E11:E32" si="2">SUM(F11:H11)</f>
        <v>4.2036389376429995</v>
      </c>
      <c r="F11" s="1015">
        <f>SUM(F12:F14)</f>
        <v>0.28767686720200003</v>
      </c>
      <c r="G11" s="1016">
        <f>SUM(G12:G14)</f>
        <v>0.273306027477</v>
      </c>
      <c r="H11" s="1017">
        <f>SUM(H12:H14)</f>
        <v>3.6426560429639996</v>
      </c>
      <c r="I11" s="1018">
        <f t="shared" ref="I11:I32" si="3">SUM(J11:L11)</f>
        <v>7.9250593352300012</v>
      </c>
      <c r="J11" s="1015">
        <f t="shared" ref="J11:Q11" si="4">SUM(J12:J14)</f>
        <v>6.0390971708360004</v>
      </c>
      <c r="K11" s="1016">
        <f t="shared" si="4"/>
        <v>1.7230035260240002</v>
      </c>
      <c r="L11" s="1017">
        <f t="shared" si="4"/>
        <v>0.16295863836999999</v>
      </c>
      <c r="M11" s="1019">
        <f t="shared" si="4"/>
        <v>1.0244919990000001E-3</v>
      </c>
      <c r="N11" s="1020">
        <f>SUM(O11:P11)</f>
        <v>2.2334654754E-2</v>
      </c>
      <c r="O11" s="1016">
        <f t="shared" si="4"/>
        <v>2.2334654754E-2</v>
      </c>
      <c r="P11" s="1017">
        <f t="shared" si="4"/>
        <v>0</v>
      </c>
      <c r="Q11" s="1014">
        <f t="shared" si="4"/>
        <v>8.7258037399999989E-4</v>
      </c>
    </row>
    <row r="12" spans="1:18">
      <c r="B12" s="1021" t="s">
        <v>98</v>
      </c>
      <c r="C12" s="1022" t="s">
        <v>10</v>
      </c>
      <c r="D12" s="1013">
        <f>E12+I12+M12+N12+Q12</f>
        <v>12.152930000000001</v>
      </c>
      <c r="E12" s="1014">
        <f t="shared" si="2"/>
        <v>4.2036389376429995</v>
      </c>
      <c r="F12" s="1023">
        <f t="shared" ref="F12:H14" si="5">SUM(F35,F58,F98)</f>
        <v>0.28767686720200003</v>
      </c>
      <c r="G12" s="1024">
        <f t="shared" si="5"/>
        <v>0.273306027477</v>
      </c>
      <c r="H12" s="1025">
        <f t="shared" si="5"/>
        <v>3.6426560429639996</v>
      </c>
      <c r="I12" s="1018">
        <f t="shared" si="3"/>
        <v>7.9250593352300012</v>
      </c>
      <c r="J12" s="1023">
        <f t="shared" ref="J12:Q14" si="6">SUM(J35,J58,J98)</f>
        <v>6.0390971708360004</v>
      </c>
      <c r="K12" s="1024">
        <f t="shared" si="6"/>
        <v>1.7230035260240002</v>
      </c>
      <c r="L12" s="1025">
        <f t="shared" si="6"/>
        <v>0.16295863836999999</v>
      </c>
      <c r="M12" s="1026">
        <f t="shared" si="6"/>
        <v>1.0244919990000001E-3</v>
      </c>
      <c r="N12" s="1020">
        <f t="shared" ref="N12:N32" si="7">SUM(O12:P12)</f>
        <v>2.2334654754E-2</v>
      </c>
      <c r="O12" s="1027">
        <f t="shared" si="6"/>
        <v>2.2334654754E-2</v>
      </c>
      <c r="P12" s="1028">
        <f t="shared" si="6"/>
        <v>0</v>
      </c>
      <c r="Q12" s="1014">
        <f t="shared" si="6"/>
        <v>8.7258037399999989E-4</v>
      </c>
    </row>
    <row r="13" spans="1:18">
      <c r="B13" s="1021" t="s">
        <v>100</v>
      </c>
      <c r="C13" s="1022" t="s">
        <v>11</v>
      </c>
      <c r="D13" s="1013">
        <f t="shared" ref="D13:D14" si="8">E13+I13+M13+N13+Q13</f>
        <v>0</v>
      </c>
      <c r="E13" s="1014">
        <f t="shared" si="2"/>
        <v>0</v>
      </c>
      <c r="F13" s="1023">
        <f t="shared" si="5"/>
        <v>0</v>
      </c>
      <c r="G13" s="1024">
        <f t="shared" si="5"/>
        <v>0</v>
      </c>
      <c r="H13" s="1025">
        <f t="shared" si="5"/>
        <v>0</v>
      </c>
      <c r="I13" s="1018">
        <f t="shared" si="3"/>
        <v>0</v>
      </c>
      <c r="J13" s="1023">
        <f t="shared" si="6"/>
        <v>0</v>
      </c>
      <c r="K13" s="1024">
        <f t="shared" si="6"/>
        <v>0</v>
      </c>
      <c r="L13" s="1025">
        <f t="shared" si="6"/>
        <v>0</v>
      </c>
      <c r="M13" s="1026">
        <f t="shared" si="6"/>
        <v>0</v>
      </c>
      <c r="N13" s="1020">
        <f t="shared" si="7"/>
        <v>0</v>
      </c>
      <c r="O13" s="1027">
        <f t="shared" si="6"/>
        <v>0</v>
      </c>
      <c r="P13" s="1028">
        <f t="shared" si="6"/>
        <v>0</v>
      </c>
      <c r="Q13" s="1014">
        <f t="shared" si="6"/>
        <v>0</v>
      </c>
    </row>
    <row r="14" spans="1:18">
      <c r="B14" s="1021" t="s">
        <v>590</v>
      </c>
      <c r="C14" s="1022" t="s">
        <v>13</v>
      </c>
      <c r="D14" s="1013">
        <f t="shared" si="8"/>
        <v>0</v>
      </c>
      <c r="E14" s="1014">
        <f t="shared" si="2"/>
        <v>0</v>
      </c>
      <c r="F14" s="1023">
        <f t="shared" si="5"/>
        <v>0</v>
      </c>
      <c r="G14" s="1024">
        <f t="shared" si="5"/>
        <v>0</v>
      </c>
      <c r="H14" s="1025">
        <f t="shared" si="5"/>
        <v>0</v>
      </c>
      <c r="I14" s="1018">
        <f t="shared" si="3"/>
        <v>0</v>
      </c>
      <c r="J14" s="1023">
        <f t="shared" si="6"/>
        <v>0</v>
      </c>
      <c r="K14" s="1024">
        <f t="shared" si="6"/>
        <v>0</v>
      </c>
      <c r="L14" s="1025">
        <f t="shared" si="6"/>
        <v>0</v>
      </c>
      <c r="M14" s="1026">
        <f t="shared" si="6"/>
        <v>0</v>
      </c>
      <c r="N14" s="1020">
        <f t="shared" si="7"/>
        <v>0</v>
      </c>
      <c r="O14" s="1027">
        <f t="shared" si="6"/>
        <v>0</v>
      </c>
      <c r="P14" s="1028">
        <f t="shared" si="6"/>
        <v>0</v>
      </c>
      <c r="Q14" s="1014">
        <f t="shared" si="6"/>
        <v>0</v>
      </c>
    </row>
    <row r="15" spans="1:18">
      <c r="B15" s="1011" t="s">
        <v>102</v>
      </c>
      <c r="C15" s="1029" t="s">
        <v>15</v>
      </c>
      <c r="D15" s="1013">
        <f>E15+I15+M15+N15+Q15</f>
        <v>3527.1324199999999</v>
      </c>
      <c r="E15" s="1014">
        <f t="shared" si="2"/>
        <v>1051.0212741484663</v>
      </c>
      <c r="F15" s="1015">
        <f>SUM(F16:F19)</f>
        <v>36.964659428428057</v>
      </c>
      <c r="G15" s="1016">
        <f>SUM(G16:G19)</f>
        <v>163.95388349755905</v>
      </c>
      <c r="H15" s="1017">
        <f>SUM(H16:H19)</f>
        <v>850.10273122247929</v>
      </c>
      <c r="I15" s="1018">
        <f t="shared" si="3"/>
        <v>2476.0912333444176</v>
      </c>
      <c r="J15" s="1015">
        <f t="shared" ref="J15:Q15" si="9">SUM(J16:J19)</f>
        <v>1401.1446865455275</v>
      </c>
      <c r="K15" s="1016">
        <f t="shared" si="9"/>
        <v>1056.070811157012</v>
      </c>
      <c r="L15" s="1017">
        <f t="shared" si="9"/>
        <v>18.875735641878137</v>
      </c>
      <c r="M15" s="1019">
        <f t="shared" si="9"/>
        <v>8.4187990865030769E-4</v>
      </c>
      <c r="N15" s="1020">
        <f t="shared" si="7"/>
        <v>1.8353581211358667E-2</v>
      </c>
      <c r="O15" s="1030">
        <f t="shared" si="9"/>
        <v>1.8353581211358667E-2</v>
      </c>
      <c r="P15" s="1031">
        <f t="shared" si="9"/>
        <v>0</v>
      </c>
      <c r="Q15" s="1014">
        <f t="shared" si="9"/>
        <v>7.1704599574249218E-4</v>
      </c>
    </row>
    <row r="16" spans="1:18">
      <c r="B16" s="1021" t="s">
        <v>104</v>
      </c>
      <c r="C16" s="1022" t="s">
        <v>17</v>
      </c>
      <c r="D16" s="1013">
        <f t="shared" ref="D16:D19" si="10">E16+I16+M16+N16+Q16</f>
        <v>385.32634000000007</v>
      </c>
      <c r="E16" s="1014">
        <f t="shared" si="2"/>
        <v>29.555044148466457</v>
      </c>
      <c r="F16" s="1023">
        <f t="shared" ref="F16:H19" si="11">SUM(F39,F62,F102)</f>
        <v>21.845719428428058</v>
      </c>
      <c r="G16" s="1024">
        <f t="shared" si="11"/>
        <v>3.6524534975590384</v>
      </c>
      <c r="H16" s="1025">
        <f t="shared" si="11"/>
        <v>4.0568712224793604</v>
      </c>
      <c r="I16" s="1018">
        <f t="shared" si="3"/>
        <v>355.75138334441783</v>
      </c>
      <c r="J16" s="1023">
        <f t="shared" ref="J16:Q19" si="12">SUM(J39,J62,J102)</f>
        <v>63.663376545527619</v>
      </c>
      <c r="K16" s="1024">
        <f t="shared" si="12"/>
        <v>287.77034115701207</v>
      </c>
      <c r="L16" s="1025">
        <f t="shared" si="12"/>
        <v>4.3176656418781381</v>
      </c>
      <c r="M16" s="1026">
        <f t="shared" si="12"/>
        <v>8.4187990865030769E-4</v>
      </c>
      <c r="N16" s="1020">
        <f t="shared" si="7"/>
        <v>1.8353581211358667E-2</v>
      </c>
      <c r="O16" s="1027">
        <f t="shared" si="12"/>
        <v>1.8353581211358667E-2</v>
      </c>
      <c r="P16" s="1028">
        <f t="shared" si="12"/>
        <v>0</v>
      </c>
      <c r="Q16" s="1014">
        <f t="shared" si="12"/>
        <v>7.1704599574249218E-4</v>
      </c>
    </row>
    <row r="17" spans="2:17">
      <c r="B17" s="1021" t="s">
        <v>110</v>
      </c>
      <c r="C17" s="1022" t="s">
        <v>591</v>
      </c>
      <c r="D17" s="1013">
        <f t="shared" si="10"/>
        <v>33.583239999999996</v>
      </c>
      <c r="E17" s="1014">
        <f t="shared" si="2"/>
        <v>0</v>
      </c>
      <c r="F17" s="1023">
        <f t="shared" si="11"/>
        <v>0</v>
      </c>
      <c r="G17" s="1024">
        <f t="shared" si="11"/>
        <v>0</v>
      </c>
      <c r="H17" s="1025">
        <f t="shared" si="11"/>
        <v>0</v>
      </c>
      <c r="I17" s="1018">
        <f t="shared" si="3"/>
        <v>33.583239999999996</v>
      </c>
      <c r="J17" s="1023">
        <f t="shared" si="12"/>
        <v>1.20984</v>
      </c>
      <c r="K17" s="1024">
        <f t="shared" si="12"/>
        <v>32.373399999999997</v>
      </c>
      <c r="L17" s="1025">
        <f t="shared" si="12"/>
        <v>0</v>
      </c>
      <c r="M17" s="1026">
        <f t="shared" si="12"/>
        <v>0</v>
      </c>
      <c r="N17" s="1020">
        <f t="shared" si="7"/>
        <v>0</v>
      </c>
      <c r="O17" s="1027">
        <f t="shared" si="12"/>
        <v>0</v>
      </c>
      <c r="P17" s="1028">
        <f t="shared" si="12"/>
        <v>0</v>
      </c>
      <c r="Q17" s="1014">
        <f t="shared" si="12"/>
        <v>0</v>
      </c>
    </row>
    <row r="18" spans="2:17">
      <c r="B18" s="1021" t="s">
        <v>117</v>
      </c>
      <c r="C18" s="1022" t="s">
        <v>23</v>
      </c>
      <c r="D18" s="1013">
        <f t="shared" si="10"/>
        <v>2089.3578200000002</v>
      </c>
      <c r="E18" s="1014">
        <f t="shared" si="2"/>
        <v>844.47766999999999</v>
      </c>
      <c r="F18" s="1023">
        <f t="shared" si="11"/>
        <v>0</v>
      </c>
      <c r="G18" s="1024">
        <f t="shared" si="11"/>
        <v>0</v>
      </c>
      <c r="H18" s="1025">
        <f t="shared" si="11"/>
        <v>844.47766999999999</v>
      </c>
      <c r="I18" s="1018">
        <f t="shared" si="3"/>
        <v>1244.88015</v>
      </c>
      <c r="J18" s="1023">
        <f t="shared" si="12"/>
        <v>1244.88015</v>
      </c>
      <c r="K18" s="1024">
        <f t="shared" si="12"/>
        <v>0</v>
      </c>
      <c r="L18" s="1025">
        <f t="shared" si="12"/>
        <v>0</v>
      </c>
      <c r="M18" s="1026">
        <f t="shared" si="12"/>
        <v>0</v>
      </c>
      <c r="N18" s="1020">
        <f t="shared" si="7"/>
        <v>0</v>
      </c>
      <c r="O18" s="1027">
        <f t="shared" si="12"/>
        <v>0</v>
      </c>
      <c r="P18" s="1028">
        <f t="shared" si="12"/>
        <v>0</v>
      </c>
      <c r="Q18" s="1014">
        <f t="shared" si="12"/>
        <v>0</v>
      </c>
    </row>
    <row r="19" spans="2:17" ht="38.25">
      <c r="B19" s="1021" t="s">
        <v>592</v>
      </c>
      <c r="C19" s="1022" t="s">
        <v>593</v>
      </c>
      <c r="D19" s="1013">
        <f t="shared" si="10"/>
        <v>1018.86502</v>
      </c>
      <c r="E19" s="1014">
        <f t="shared" si="2"/>
        <v>176.98856000000001</v>
      </c>
      <c r="F19" s="1023">
        <f t="shared" si="11"/>
        <v>15.11894</v>
      </c>
      <c r="G19" s="1024">
        <f t="shared" si="11"/>
        <v>160.30143000000001</v>
      </c>
      <c r="H19" s="1025">
        <f t="shared" si="11"/>
        <v>1.56819</v>
      </c>
      <c r="I19" s="1018">
        <f t="shared" si="3"/>
        <v>841.87645999999995</v>
      </c>
      <c r="J19" s="1023">
        <f t="shared" si="12"/>
        <v>91.391319999999993</v>
      </c>
      <c r="K19" s="1024">
        <f t="shared" si="12"/>
        <v>735.92706999999996</v>
      </c>
      <c r="L19" s="1025">
        <f t="shared" si="12"/>
        <v>14.558070000000001</v>
      </c>
      <c r="M19" s="1026">
        <f t="shared" si="12"/>
        <v>0</v>
      </c>
      <c r="N19" s="1020">
        <f t="shared" si="7"/>
        <v>0</v>
      </c>
      <c r="O19" s="1027">
        <f t="shared" si="12"/>
        <v>0</v>
      </c>
      <c r="P19" s="1028">
        <f t="shared" si="12"/>
        <v>0</v>
      </c>
      <c r="Q19" s="1014">
        <f t="shared" si="12"/>
        <v>0</v>
      </c>
    </row>
    <row r="20" spans="2:17">
      <c r="B20" s="1011" t="s">
        <v>124</v>
      </c>
      <c r="C20" s="1032" t="s">
        <v>27</v>
      </c>
      <c r="D20" s="1013">
        <f>E20+I20+M20+N20+Q20</f>
        <v>124.02494</v>
      </c>
      <c r="E20" s="1014">
        <f t="shared" si="2"/>
        <v>54.734724121109991</v>
      </c>
      <c r="F20" s="1015">
        <f>SUM(F21:F22)</f>
        <v>46.379228049539996</v>
      </c>
      <c r="G20" s="1016">
        <f>SUM(G21:G22)</f>
        <v>1.2182132612899998</v>
      </c>
      <c r="H20" s="1017">
        <f>SUM(H21:H22)</f>
        <v>7.1372828102800003</v>
      </c>
      <c r="I20" s="1018">
        <f t="shared" si="3"/>
        <v>69.276027087100005</v>
      </c>
      <c r="J20" s="1015">
        <f t="shared" ref="J20:Q20" si="13">SUM(J21:J22)</f>
        <v>43.343989415720003</v>
      </c>
      <c r="K20" s="1016">
        <f t="shared" si="13"/>
        <v>8.1533878864800009</v>
      </c>
      <c r="L20" s="1017">
        <f t="shared" si="13"/>
        <v>17.778649784900001</v>
      </c>
      <c r="M20" s="1019">
        <f t="shared" si="13"/>
        <v>5.9988722999999996E-4</v>
      </c>
      <c r="N20" s="1020">
        <f t="shared" si="7"/>
        <v>1.3077968580000002E-2</v>
      </c>
      <c r="O20" s="1030">
        <f t="shared" si="13"/>
        <v>1.3077968580000002E-2</v>
      </c>
      <c r="P20" s="1031">
        <f t="shared" si="13"/>
        <v>0</v>
      </c>
      <c r="Q20" s="1014">
        <f t="shared" si="13"/>
        <v>5.1093598E-4</v>
      </c>
    </row>
    <row r="21" spans="2:17" ht="51.75">
      <c r="B21" s="1021" t="s">
        <v>126</v>
      </c>
      <c r="C21" s="1033" t="s">
        <v>29</v>
      </c>
      <c r="D21" s="1013">
        <f t="shared" ref="D21:D22" si="14">E21+I21+M21+N21+Q21</f>
        <v>118.57714</v>
      </c>
      <c r="E21" s="1014">
        <f t="shared" si="2"/>
        <v>54.734724121109991</v>
      </c>
      <c r="F21" s="1023">
        <f>SUM(F44,F67,F107)</f>
        <v>46.379228049539996</v>
      </c>
      <c r="G21" s="1024">
        <f>SUM(G44,G67,G107)</f>
        <v>1.2182132612899998</v>
      </c>
      <c r="H21" s="1025">
        <f>SUM(H44,H67,H107)</f>
        <v>7.1372828102800003</v>
      </c>
      <c r="I21" s="1018">
        <f t="shared" si="3"/>
        <v>63.828227087100004</v>
      </c>
      <c r="J21" s="1023">
        <f t="shared" ref="J21:Q21" si="15">SUM(J44,J67,J107)</f>
        <v>40.549749415720001</v>
      </c>
      <c r="K21" s="1024">
        <f t="shared" si="15"/>
        <v>7.52512788648</v>
      </c>
      <c r="L21" s="1025">
        <f t="shared" si="15"/>
        <v>15.753349784900001</v>
      </c>
      <c r="M21" s="1026">
        <f t="shared" si="15"/>
        <v>5.9988722999999996E-4</v>
      </c>
      <c r="N21" s="1020">
        <f t="shared" si="7"/>
        <v>1.3077968580000002E-2</v>
      </c>
      <c r="O21" s="1027">
        <f t="shared" si="15"/>
        <v>1.3077968580000002E-2</v>
      </c>
      <c r="P21" s="1028">
        <f t="shared" si="15"/>
        <v>0</v>
      </c>
      <c r="Q21" s="1014">
        <f t="shared" si="15"/>
        <v>5.1093598E-4</v>
      </c>
    </row>
    <row r="22" spans="2:17">
      <c r="B22" s="1021" t="s">
        <v>128</v>
      </c>
      <c r="C22" s="1033" t="s">
        <v>31</v>
      </c>
      <c r="D22" s="1013">
        <f t="shared" si="14"/>
        <v>5.4478</v>
      </c>
      <c r="E22" s="1014">
        <f t="shared" si="2"/>
        <v>0</v>
      </c>
      <c r="F22" s="1023">
        <f>SUM(F45,F68)</f>
        <v>0</v>
      </c>
      <c r="G22" s="1024">
        <f>SUM(G45,G68)</f>
        <v>0</v>
      </c>
      <c r="H22" s="1025">
        <f>SUM(H45,H68)</f>
        <v>0</v>
      </c>
      <c r="I22" s="1018">
        <f t="shared" si="3"/>
        <v>5.4478</v>
      </c>
      <c r="J22" s="1023">
        <f t="shared" ref="J22:Q22" si="16">SUM(J45,J68)</f>
        <v>2.7942399999999998</v>
      </c>
      <c r="K22" s="1024">
        <f t="shared" si="16"/>
        <v>0.62826000000000004</v>
      </c>
      <c r="L22" s="1025">
        <f t="shared" si="16"/>
        <v>2.0253000000000001</v>
      </c>
      <c r="M22" s="1026">
        <f t="shared" si="16"/>
        <v>0</v>
      </c>
      <c r="N22" s="1020">
        <f t="shared" si="7"/>
        <v>0</v>
      </c>
      <c r="O22" s="1027">
        <f t="shared" si="16"/>
        <v>0</v>
      </c>
      <c r="P22" s="1028">
        <f t="shared" si="16"/>
        <v>0</v>
      </c>
      <c r="Q22" s="1014">
        <f t="shared" si="16"/>
        <v>0</v>
      </c>
    </row>
    <row r="23" spans="2:17">
      <c r="B23" s="1011" t="s">
        <v>268</v>
      </c>
      <c r="C23" s="1032" t="s">
        <v>33</v>
      </c>
      <c r="D23" s="1013">
        <f>E23+I23+M23+N23+Q23</f>
        <v>27.903079999999999</v>
      </c>
      <c r="E23" s="1014">
        <f t="shared" si="2"/>
        <v>7.8127280268480002</v>
      </c>
      <c r="F23" s="1015">
        <f>SUM(F24:F25)</f>
        <v>0.59774140307199997</v>
      </c>
      <c r="G23" s="1016">
        <f>SUM(G24:G25)</f>
        <v>7.0433944454719999</v>
      </c>
      <c r="H23" s="1017">
        <f>SUM(H24:H25)</f>
        <v>0.171592178304</v>
      </c>
      <c r="I23" s="1018">
        <f t="shared" si="3"/>
        <v>1.07758050528</v>
      </c>
      <c r="J23" s="1015">
        <f t="shared" ref="J23:Q23" si="17">SUM(J24:J25)</f>
        <v>0.98873973849599994</v>
      </c>
      <c r="K23" s="1016">
        <f t="shared" si="17"/>
        <v>8.1164382463999998E-2</v>
      </c>
      <c r="L23" s="1017">
        <f t="shared" si="17"/>
        <v>7.6763843199999992E-3</v>
      </c>
      <c r="M23" s="1019">
        <f t="shared" si="17"/>
        <v>4.8260063999999997E-5</v>
      </c>
      <c r="N23" s="1020">
        <f t="shared" si="7"/>
        <v>19.012682103744002</v>
      </c>
      <c r="O23" s="1030">
        <f t="shared" si="17"/>
        <v>19.012682103744002</v>
      </c>
      <c r="P23" s="1031">
        <f t="shared" si="17"/>
        <v>0</v>
      </c>
      <c r="Q23" s="1014">
        <f t="shared" si="17"/>
        <v>4.1104064E-5</v>
      </c>
    </row>
    <row r="24" spans="2:17">
      <c r="B24" s="1021" t="s">
        <v>594</v>
      </c>
      <c r="C24" s="1033" t="s">
        <v>595</v>
      </c>
      <c r="D24" s="1013">
        <f t="shared" ref="D24:D25" si="18">E24+I24+M24+N24+Q24</f>
        <v>19.01163</v>
      </c>
      <c r="E24" s="1034">
        <f t="shared" si="2"/>
        <v>0</v>
      </c>
      <c r="F24" s="1035">
        <f t="shared" ref="F24:H25" si="19">SUM(F47,F70,F109)</f>
        <v>0</v>
      </c>
      <c r="G24" s="1036">
        <f t="shared" si="19"/>
        <v>0</v>
      </c>
      <c r="H24" s="1037">
        <f t="shared" si="19"/>
        <v>0</v>
      </c>
      <c r="I24" s="1038">
        <f t="shared" si="3"/>
        <v>0</v>
      </c>
      <c r="J24" s="1035">
        <f t="shared" ref="J24:Q25" si="20">SUM(J47,J70,J109)</f>
        <v>0</v>
      </c>
      <c r="K24" s="1036">
        <f t="shared" si="20"/>
        <v>0</v>
      </c>
      <c r="L24" s="1037">
        <f t="shared" si="20"/>
        <v>0</v>
      </c>
      <c r="M24" s="1039">
        <f t="shared" si="20"/>
        <v>0</v>
      </c>
      <c r="N24" s="1040">
        <f t="shared" si="7"/>
        <v>19.01163</v>
      </c>
      <c r="O24" s="1041">
        <f t="shared" si="20"/>
        <v>19.01163</v>
      </c>
      <c r="P24" s="1042">
        <f t="shared" si="20"/>
        <v>0</v>
      </c>
      <c r="Q24" s="1043">
        <f t="shared" si="20"/>
        <v>0</v>
      </c>
    </row>
    <row r="25" spans="2:17" ht="26.25">
      <c r="B25" s="1021" t="s">
        <v>596</v>
      </c>
      <c r="C25" s="1044" t="s">
        <v>597</v>
      </c>
      <c r="D25" s="1013">
        <f t="shared" si="18"/>
        <v>8.891449999999999</v>
      </c>
      <c r="E25" s="1034">
        <f t="shared" si="2"/>
        <v>7.8127280268480002</v>
      </c>
      <c r="F25" s="1035">
        <f t="shared" si="19"/>
        <v>0.59774140307199997</v>
      </c>
      <c r="G25" s="1036">
        <f t="shared" si="19"/>
        <v>7.0433944454719999</v>
      </c>
      <c r="H25" s="1037">
        <f t="shared" si="19"/>
        <v>0.171592178304</v>
      </c>
      <c r="I25" s="1038">
        <f t="shared" si="3"/>
        <v>1.07758050528</v>
      </c>
      <c r="J25" s="1035">
        <f t="shared" si="20"/>
        <v>0.98873973849599994</v>
      </c>
      <c r="K25" s="1036">
        <f t="shared" si="20"/>
        <v>8.1164382463999998E-2</v>
      </c>
      <c r="L25" s="1037">
        <f t="shared" si="20"/>
        <v>7.6763843199999992E-3</v>
      </c>
      <c r="M25" s="1039">
        <f t="shared" si="20"/>
        <v>4.8260063999999997E-5</v>
      </c>
      <c r="N25" s="1040">
        <f t="shared" si="7"/>
        <v>1.052103744E-3</v>
      </c>
      <c r="O25" s="1041">
        <f t="shared" si="20"/>
        <v>1.052103744E-3</v>
      </c>
      <c r="P25" s="1042">
        <f t="shared" si="20"/>
        <v>0</v>
      </c>
      <c r="Q25" s="1043">
        <f t="shared" si="20"/>
        <v>4.1104064E-5</v>
      </c>
    </row>
    <row r="26" spans="2:17">
      <c r="B26" s="1011" t="s">
        <v>270</v>
      </c>
      <c r="C26" s="1045" t="s">
        <v>39</v>
      </c>
      <c r="D26" s="1013">
        <f>E26+I26+M26+N26+Q26</f>
        <v>47.426989999999996</v>
      </c>
      <c r="E26" s="1046">
        <f t="shared" si="2"/>
        <v>8.8150725178839995</v>
      </c>
      <c r="F26" s="1047">
        <f>SUM(F27:F28)</f>
        <v>0.29969980797599999</v>
      </c>
      <c r="G26" s="1048">
        <f>SUM(G27:G28)</f>
        <v>0.28472836467599999</v>
      </c>
      <c r="H26" s="1049">
        <f>SUM(H27:H28)</f>
        <v>8.2306443452319993</v>
      </c>
      <c r="I26" s="1050">
        <f t="shared" si="3"/>
        <v>36.404013033239998</v>
      </c>
      <c r="J26" s="1047">
        <f t="shared" ref="J26:Q26" si="21">SUM(J27:J28)</f>
        <v>24.201440449167997</v>
      </c>
      <c r="K26" s="1048">
        <f t="shared" si="21"/>
        <v>1.7950133805120001</v>
      </c>
      <c r="L26" s="1049">
        <f t="shared" si="21"/>
        <v>10.407559203560002</v>
      </c>
      <c r="M26" s="1051">
        <f t="shared" si="21"/>
        <v>1.4283873088119998</v>
      </c>
      <c r="N26" s="1052">
        <f t="shared" si="7"/>
        <v>0.11054809175199999</v>
      </c>
      <c r="O26" s="1048">
        <f t="shared" si="21"/>
        <v>0.11054809175199999</v>
      </c>
      <c r="P26" s="1049">
        <f t="shared" si="21"/>
        <v>0</v>
      </c>
      <c r="Q26" s="1046">
        <f t="shared" si="21"/>
        <v>0.66896904831199999</v>
      </c>
    </row>
    <row r="27" spans="2:17">
      <c r="B27" s="1053" t="s">
        <v>272</v>
      </c>
      <c r="C27" s="1054" t="s">
        <v>41</v>
      </c>
      <c r="D27" s="1013">
        <f t="shared" ref="D27:D28" si="22">E27+I27+M27+N27+Q27</f>
        <v>8.6919799999999992</v>
      </c>
      <c r="E27" s="1055">
        <f t="shared" si="2"/>
        <v>5.3840663830129989</v>
      </c>
      <c r="F27" s="1056">
        <f t="shared" ref="F27:H28" si="23">SUM(F50,F73,F112)</f>
        <v>6.4898220381999994E-2</v>
      </c>
      <c r="G27" s="1057">
        <f t="shared" si="23"/>
        <v>6.1656242906999996E-2</v>
      </c>
      <c r="H27" s="1058">
        <f t="shared" si="23"/>
        <v>5.2575119197239992</v>
      </c>
      <c r="I27" s="1059">
        <f t="shared" si="3"/>
        <v>1.78784708093</v>
      </c>
      <c r="J27" s="1056">
        <f t="shared" ref="J27:Q28" si="24">SUM(J50,J73,J112)</f>
        <v>1.3623850360759999</v>
      </c>
      <c r="K27" s="1057">
        <f t="shared" si="24"/>
        <v>0.388699528184</v>
      </c>
      <c r="L27" s="1058">
        <f t="shared" si="24"/>
        <v>3.6762516669999995E-2</v>
      </c>
      <c r="M27" s="1060">
        <f t="shared" si="24"/>
        <v>1.4275511194089998</v>
      </c>
      <c r="N27" s="1061">
        <f t="shared" si="7"/>
        <v>9.2318567613999994E-2</v>
      </c>
      <c r="O27" s="1041">
        <f t="shared" si="24"/>
        <v>9.2318567613999994E-2</v>
      </c>
      <c r="P27" s="1042">
        <f t="shared" si="24"/>
        <v>0</v>
      </c>
      <c r="Q27" s="1062">
        <f t="shared" si="24"/>
        <v>1.96849034E-4</v>
      </c>
    </row>
    <row r="28" spans="2:17" ht="26.25">
      <c r="B28" s="1053" t="s">
        <v>274</v>
      </c>
      <c r="C28" s="1063" t="s">
        <v>43</v>
      </c>
      <c r="D28" s="1013">
        <f t="shared" si="22"/>
        <v>38.735010000000003</v>
      </c>
      <c r="E28" s="1046">
        <f t="shared" si="2"/>
        <v>3.4310061348710001</v>
      </c>
      <c r="F28" s="1064">
        <f t="shared" si="23"/>
        <v>0.23480158759399999</v>
      </c>
      <c r="G28" s="1041">
        <f t="shared" si="23"/>
        <v>0.22307212176899999</v>
      </c>
      <c r="H28" s="1042">
        <f t="shared" si="23"/>
        <v>2.9731324255080001</v>
      </c>
      <c r="I28" s="1050">
        <f t="shared" si="3"/>
        <v>34.616165952309998</v>
      </c>
      <c r="J28" s="1064">
        <f t="shared" si="24"/>
        <v>22.839055413091998</v>
      </c>
      <c r="K28" s="1041">
        <f t="shared" si="24"/>
        <v>1.4063138523280001</v>
      </c>
      <c r="L28" s="1042">
        <f t="shared" si="24"/>
        <v>10.370796686890001</v>
      </c>
      <c r="M28" s="1065">
        <f t="shared" si="24"/>
        <v>8.36189403E-4</v>
      </c>
      <c r="N28" s="1066">
        <f t="shared" si="7"/>
        <v>1.8229524138000001E-2</v>
      </c>
      <c r="O28" s="1041">
        <f t="shared" si="24"/>
        <v>1.8229524138000001E-2</v>
      </c>
      <c r="P28" s="1042">
        <f t="shared" si="24"/>
        <v>0</v>
      </c>
      <c r="Q28" s="1067">
        <f t="shared" si="24"/>
        <v>0.66877219927800002</v>
      </c>
    </row>
    <row r="29" spans="2:17">
      <c r="B29" s="1068" t="s">
        <v>278</v>
      </c>
      <c r="C29" s="1069" t="s">
        <v>598</v>
      </c>
      <c r="D29" s="1013">
        <f>E29+I29+M29+N29+Q29</f>
        <v>3.3129799999999991</v>
      </c>
      <c r="E29" s="1046">
        <f t="shared" si="2"/>
        <v>1.0752693734158765</v>
      </c>
      <c r="F29" s="1047">
        <f>SUM(F30:F32)</f>
        <v>7.3586273543269604E-2</v>
      </c>
      <c r="G29" s="1048">
        <f>SUM(G30:G32)</f>
        <v>6.9910286129558658E-2</v>
      </c>
      <c r="H29" s="1049">
        <f>SUM(H30:H32)</f>
        <v>0.93177281374304832</v>
      </c>
      <c r="I29" s="1050">
        <f t="shared" si="3"/>
        <v>2.2315122745298326</v>
      </c>
      <c r="J29" s="1047">
        <f t="shared" ref="J29:Q29" si="25">SUM(J30:J32)</f>
        <v>1.5447702162839538</v>
      </c>
      <c r="K29" s="1048">
        <f t="shared" si="25"/>
        <v>0.6450580707359852</v>
      </c>
      <c r="L29" s="1049">
        <f t="shared" si="25"/>
        <v>4.1683987509893772E-2</v>
      </c>
      <c r="M29" s="1051">
        <f t="shared" si="25"/>
        <v>2.620598215440417E-4</v>
      </c>
      <c r="N29" s="1052">
        <f t="shared" si="7"/>
        <v>5.713090629106049E-3</v>
      </c>
      <c r="O29" s="1048">
        <f t="shared" si="25"/>
        <v>5.713090629106049E-3</v>
      </c>
      <c r="P29" s="1049">
        <f t="shared" si="25"/>
        <v>0</v>
      </c>
      <c r="Q29" s="1046">
        <f t="shared" si="25"/>
        <v>2.2320160364012093E-4</v>
      </c>
    </row>
    <row r="30" spans="2:17">
      <c r="B30" s="582" t="s">
        <v>280</v>
      </c>
      <c r="C30" s="1070" t="s">
        <v>599</v>
      </c>
      <c r="D30" s="1013">
        <f t="shared" ref="D30:D32" si="26">E30+I30+M30+N30+Q30</f>
        <v>0</v>
      </c>
      <c r="E30" s="1046">
        <f t="shared" si="2"/>
        <v>0</v>
      </c>
      <c r="F30" s="1064">
        <f t="shared" ref="F30:H32" si="27">SUM(F53,F76,F115)</f>
        <v>0</v>
      </c>
      <c r="G30" s="1041">
        <f t="shared" si="27"/>
        <v>0</v>
      </c>
      <c r="H30" s="1042">
        <f t="shared" si="27"/>
        <v>0</v>
      </c>
      <c r="I30" s="1050">
        <f t="shared" si="3"/>
        <v>0</v>
      </c>
      <c r="J30" s="1064">
        <f t="shared" ref="J30:Q32" si="28">SUM(J53,J76,J115)</f>
        <v>0</v>
      </c>
      <c r="K30" s="1041">
        <f t="shared" si="28"/>
        <v>0</v>
      </c>
      <c r="L30" s="1042">
        <f t="shared" si="28"/>
        <v>0</v>
      </c>
      <c r="M30" s="1065">
        <f t="shared" si="28"/>
        <v>0</v>
      </c>
      <c r="N30" s="1066">
        <f t="shared" si="7"/>
        <v>0</v>
      </c>
      <c r="O30" s="1041">
        <f t="shared" si="28"/>
        <v>0</v>
      </c>
      <c r="P30" s="1042">
        <f t="shared" si="28"/>
        <v>0</v>
      </c>
      <c r="Q30" s="1067">
        <f t="shared" si="28"/>
        <v>0</v>
      </c>
    </row>
    <row r="31" spans="2:17">
      <c r="B31" s="582" t="s">
        <v>600</v>
      </c>
      <c r="C31" s="1070" t="s">
        <v>599</v>
      </c>
      <c r="D31" s="1013">
        <f t="shared" si="26"/>
        <v>0</v>
      </c>
      <c r="E31" s="1046">
        <f t="shared" si="2"/>
        <v>0</v>
      </c>
      <c r="F31" s="1064">
        <f t="shared" si="27"/>
        <v>0</v>
      </c>
      <c r="G31" s="1041">
        <f t="shared" si="27"/>
        <v>0</v>
      </c>
      <c r="H31" s="1042">
        <f t="shared" si="27"/>
        <v>0</v>
      </c>
      <c r="I31" s="1050">
        <f t="shared" si="3"/>
        <v>0</v>
      </c>
      <c r="J31" s="1064">
        <f t="shared" si="28"/>
        <v>0</v>
      </c>
      <c r="K31" s="1041">
        <f t="shared" si="28"/>
        <v>0</v>
      </c>
      <c r="L31" s="1042">
        <f t="shared" si="28"/>
        <v>0</v>
      </c>
      <c r="M31" s="1065">
        <f t="shared" si="28"/>
        <v>0</v>
      </c>
      <c r="N31" s="1066">
        <f t="shared" si="7"/>
        <v>0</v>
      </c>
      <c r="O31" s="1041">
        <f t="shared" si="28"/>
        <v>0</v>
      </c>
      <c r="P31" s="1042">
        <f t="shared" si="28"/>
        <v>0</v>
      </c>
      <c r="Q31" s="1067">
        <f t="shared" si="28"/>
        <v>0</v>
      </c>
    </row>
    <row r="32" spans="2:17">
      <c r="B32" s="584" t="s">
        <v>601</v>
      </c>
      <c r="C32" s="1070" t="s">
        <v>599</v>
      </c>
      <c r="D32" s="1013">
        <f t="shared" si="26"/>
        <v>3.3129799999999991</v>
      </c>
      <c r="E32" s="1071">
        <f t="shared" si="2"/>
        <v>1.0752693734158765</v>
      </c>
      <c r="F32" s="1072">
        <f t="shared" si="27"/>
        <v>7.3586273543269604E-2</v>
      </c>
      <c r="G32" s="1073">
        <f t="shared" si="27"/>
        <v>6.9910286129558658E-2</v>
      </c>
      <c r="H32" s="1074">
        <f t="shared" si="27"/>
        <v>0.93177281374304832</v>
      </c>
      <c r="I32" s="1075">
        <f t="shared" si="3"/>
        <v>2.2315122745298326</v>
      </c>
      <c r="J32" s="1072">
        <f t="shared" si="28"/>
        <v>1.5447702162839538</v>
      </c>
      <c r="K32" s="1073">
        <f t="shared" si="28"/>
        <v>0.6450580707359852</v>
      </c>
      <c r="L32" s="1074">
        <f t="shared" si="28"/>
        <v>4.1683987509893772E-2</v>
      </c>
      <c r="M32" s="1076">
        <f t="shared" si="28"/>
        <v>2.620598215440417E-4</v>
      </c>
      <c r="N32" s="1077">
        <f t="shared" si="7"/>
        <v>5.713090629106049E-3</v>
      </c>
      <c r="O32" s="1057">
        <f t="shared" si="28"/>
        <v>5.713090629106049E-3</v>
      </c>
      <c r="P32" s="1058">
        <f t="shared" si="28"/>
        <v>0</v>
      </c>
      <c r="Q32" s="1078">
        <f t="shared" si="28"/>
        <v>2.2320160364012093E-4</v>
      </c>
    </row>
    <row r="33" spans="2:17">
      <c r="B33" s="549" t="s">
        <v>53</v>
      </c>
      <c r="C33" s="1002" t="s">
        <v>602</v>
      </c>
      <c r="D33" s="1013">
        <f>E33+I33+M33+N33+Q33</f>
        <v>3692.4198899999997</v>
      </c>
      <c r="E33" s="1004">
        <f t="shared" ref="E33:Q33" si="29">E34+E38+E43+E46+E49+E52</f>
        <v>1111.6272000000001</v>
      </c>
      <c r="F33" s="1005">
        <f t="shared" si="29"/>
        <v>83.305090000000007</v>
      </c>
      <c r="G33" s="1006">
        <f t="shared" si="29"/>
        <v>171.78339</v>
      </c>
      <c r="H33" s="1007">
        <f t="shared" si="29"/>
        <v>856.5387199999999</v>
      </c>
      <c r="I33" s="1008">
        <f t="shared" si="29"/>
        <v>2559.5983999999999</v>
      </c>
      <c r="J33" s="1005">
        <f t="shared" si="29"/>
        <v>1454.0114999999998</v>
      </c>
      <c r="K33" s="1006">
        <f t="shared" si="29"/>
        <v>1058.9662899999998</v>
      </c>
      <c r="L33" s="1007">
        <f t="shared" si="29"/>
        <v>46.620609999999999</v>
      </c>
      <c r="M33" s="1009">
        <f t="shared" si="29"/>
        <v>1.4273199999999999</v>
      </c>
      <c r="N33" s="1010">
        <f t="shared" si="29"/>
        <v>19.09891</v>
      </c>
      <c r="O33" s="1006">
        <f t="shared" si="29"/>
        <v>19.09891</v>
      </c>
      <c r="P33" s="1007">
        <f t="shared" si="29"/>
        <v>0</v>
      </c>
      <c r="Q33" s="1004">
        <f t="shared" si="29"/>
        <v>0.66805999999999999</v>
      </c>
    </row>
    <row r="34" spans="2:17">
      <c r="B34" s="556" t="s">
        <v>55</v>
      </c>
      <c r="C34" s="1012" t="s">
        <v>8</v>
      </c>
      <c r="D34" s="1013">
        <f>E34+I34+M34+N34+Q34</f>
        <v>0</v>
      </c>
      <c r="E34" s="1014">
        <f t="shared" ref="E34:E55" si="30">SUM(F34:H34)</f>
        <v>0</v>
      </c>
      <c r="F34" s="1015">
        <f>SUM(F35:F37)</f>
        <v>0</v>
      </c>
      <c r="G34" s="1016">
        <f>SUM(G35:G37)</f>
        <v>0</v>
      </c>
      <c r="H34" s="1017">
        <f>SUM(H35:H37)</f>
        <v>0</v>
      </c>
      <c r="I34" s="1018">
        <f t="shared" ref="I34:I55" si="31">SUM(J34:L34)</f>
        <v>0</v>
      </c>
      <c r="J34" s="1015">
        <f t="shared" ref="J34:Q34" si="32">SUM(J35:J37)</f>
        <v>0</v>
      </c>
      <c r="K34" s="1016">
        <f t="shared" si="32"/>
        <v>0</v>
      </c>
      <c r="L34" s="1017">
        <f t="shared" si="32"/>
        <v>0</v>
      </c>
      <c r="M34" s="1019">
        <f t="shared" si="32"/>
        <v>0</v>
      </c>
      <c r="N34" s="1020">
        <f t="shared" ref="N34:N55" si="33">SUM(O34:P34)</f>
        <v>0</v>
      </c>
      <c r="O34" s="1016">
        <f t="shared" si="32"/>
        <v>0</v>
      </c>
      <c r="P34" s="1017">
        <f t="shared" si="32"/>
        <v>0</v>
      </c>
      <c r="Q34" s="1014">
        <f t="shared" si="32"/>
        <v>0</v>
      </c>
    </row>
    <row r="35" spans="2:17">
      <c r="B35" s="558" t="s">
        <v>133</v>
      </c>
      <c r="C35" s="1022" t="s">
        <v>10</v>
      </c>
      <c r="D35" s="1013">
        <f t="shared" ref="D35:D37" si="34">E35+I35+M35+N35+Q35</f>
        <v>0</v>
      </c>
      <c r="E35" s="1014">
        <f t="shared" si="30"/>
        <v>0</v>
      </c>
      <c r="F35" s="321">
        <v>0</v>
      </c>
      <c r="G35" s="322">
        <v>0</v>
      </c>
      <c r="H35" s="323">
        <v>0</v>
      </c>
      <c r="I35" s="1018">
        <f t="shared" si="31"/>
        <v>0</v>
      </c>
      <c r="J35" s="321">
        <v>0</v>
      </c>
      <c r="K35" s="322">
        <v>0</v>
      </c>
      <c r="L35" s="323">
        <v>0</v>
      </c>
      <c r="M35" s="1079">
        <v>0</v>
      </c>
      <c r="N35" s="1020">
        <f t="shared" si="33"/>
        <v>0</v>
      </c>
      <c r="O35" s="322">
        <v>0</v>
      </c>
      <c r="P35" s="323">
        <v>0</v>
      </c>
      <c r="Q35" s="1080">
        <v>0</v>
      </c>
    </row>
    <row r="36" spans="2:17">
      <c r="B36" s="558" t="s">
        <v>135</v>
      </c>
      <c r="C36" s="1022" t="s">
        <v>11</v>
      </c>
      <c r="D36" s="1013">
        <f t="shared" si="34"/>
        <v>0</v>
      </c>
      <c r="E36" s="1014">
        <f t="shared" si="30"/>
        <v>0</v>
      </c>
      <c r="F36" s="321">
        <v>0</v>
      </c>
      <c r="G36" s="322">
        <v>0</v>
      </c>
      <c r="H36" s="323">
        <v>0</v>
      </c>
      <c r="I36" s="1018">
        <f t="shared" si="31"/>
        <v>0</v>
      </c>
      <c r="J36" s="321">
        <v>0</v>
      </c>
      <c r="K36" s="322">
        <v>0</v>
      </c>
      <c r="L36" s="323">
        <v>0</v>
      </c>
      <c r="M36" s="1079">
        <v>0</v>
      </c>
      <c r="N36" s="1020">
        <f t="shared" si="33"/>
        <v>0</v>
      </c>
      <c r="O36" s="322">
        <v>0</v>
      </c>
      <c r="P36" s="323">
        <v>0</v>
      </c>
      <c r="Q36" s="1080">
        <v>0</v>
      </c>
    </row>
    <row r="37" spans="2:17">
      <c r="B37" s="558" t="s">
        <v>137</v>
      </c>
      <c r="C37" s="1022" t="s">
        <v>13</v>
      </c>
      <c r="D37" s="1013">
        <f t="shared" si="34"/>
        <v>0</v>
      </c>
      <c r="E37" s="1014">
        <f t="shared" si="30"/>
        <v>0</v>
      </c>
      <c r="F37" s="321">
        <v>0</v>
      </c>
      <c r="G37" s="322">
        <v>0</v>
      </c>
      <c r="H37" s="323">
        <v>0</v>
      </c>
      <c r="I37" s="1018">
        <f t="shared" si="31"/>
        <v>0</v>
      </c>
      <c r="J37" s="321">
        <v>0</v>
      </c>
      <c r="K37" s="322">
        <v>0</v>
      </c>
      <c r="L37" s="323">
        <v>0</v>
      </c>
      <c r="M37" s="1079">
        <v>0</v>
      </c>
      <c r="N37" s="1020">
        <f t="shared" si="33"/>
        <v>0</v>
      </c>
      <c r="O37" s="322">
        <v>0</v>
      </c>
      <c r="P37" s="323">
        <v>0</v>
      </c>
      <c r="Q37" s="1080">
        <v>0</v>
      </c>
    </row>
    <row r="38" spans="2:17">
      <c r="B38" s="556" t="s">
        <v>138</v>
      </c>
      <c r="C38" s="1029" t="s">
        <v>15</v>
      </c>
      <c r="D38" s="1013">
        <f>E38+I38+M38+N38+Q38</f>
        <v>3513.3567599999997</v>
      </c>
      <c r="E38" s="1014">
        <f t="shared" si="30"/>
        <v>1047.3034399999999</v>
      </c>
      <c r="F38" s="1015">
        <f>SUM(F39:F42)</f>
        <v>36.510120000000001</v>
      </c>
      <c r="G38" s="1016">
        <f>SUM(G39:G42)</f>
        <v>163.69469000000001</v>
      </c>
      <c r="H38" s="1017">
        <f>SUM(H39:H42)</f>
        <v>847.09862999999996</v>
      </c>
      <c r="I38" s="1018">
        <f t="shared" si="31"/>
        <v>2466.05332</v>
      </c>
      <c r="J38" s="1015">
        <f t="shared" ref="J38:Q38" si="35">SUM(J39:J42)</f>
        <v>1395.5894699999999</v>
      </c>
      <c r="K38" s="1016">
        <f t="shared" si="35"/>
        <v>1051.7642599999999</v>
      </c>
      <c r="L38" s="1017">
        <f t="shared" si="35"/>
        <v>18.699590000000001</v>
      </c>
      <c r="M38" s="1019">
        <f t="shared" si="35"/>
        <v>0</v>
      </c>
      <c r="N38" s="1020">
        <f t="shared" si="33"/>
        <v>0</v>
      </c>
      <c r="O38" s="1016">
        <f t="shared" si="35"/>
        <v>0</v>
      </c>
      <c r="P38" s="1017">
        <f t="shared" si="35"/>
        <v>0</v>
      </c>
      <c r="Q38" s="1014">
        <f t="shared" si="35"/>
        <v>0</v>
      </c>
    </row>
    <row r="39" spans="2:17">
      <c r="B39" s="558" t="s">
        <v>140</v>
      </c>
      <c r="C39" s="1022" t="s">
        <v>17</v>
      </c>
      <c r="D39" s="1013">
        <f t="shared" ref="D39:D42" si="36">E39+I39+M39+N39+Q39</f>
        <v>371.55068000000006</v>
      </c>
      <c r="E39" s="1014">
        <f t="shared" si="30"/>
        <v>25.837209999999999</v>
      </c>
      <c r="F39" s="321">
        <v>21.391179999999999</v>
      </c>
      <c r="G39" s="322">
        <v>3.3932600000000002</v>
      </c>
      <c r="H39" s="323">
        <v>1.05277</v>
      </c>
      <c r="I39" s="1018">
        <f t="shared" si="31"/>
        <v>345.71347000000003</v>
      </c>
      <c r="J39" s="321">
        <v>58.108159999999998</v>
      </c>
      <c r="K39" s="322">
        <v>283.46379000000002</v>
      </c>
      <c r="L39" s="323">
        <v>4.1415199999999999</v>
      </c>
      <c r="M39" s="1079">
        <v>0</v>
      </c>
      <c r="N39" s="1020">
        <f t="shared" si="33"/>
        <v>0</v>
      </c>
      <c r="O39" s="322">
        <v>0</v>
      </c>
      <c r="P39" s="323">
        <v>0</v>
      </c>
      <c r="Q39" s="1080">
        <v>0</v>
      </c>
    </row>
    <row r="40" spans="2:17">
      <c r="B40" s="558" t="s">
        <v>142</v>
      </c>
      <c r="C40" s="1022" t="s">
        <v>591</v>
      </c>
      <c r="D40" s="1013">
        <f t="shared" si="36"/>
        <v>33.583239999999996</v>
      </c>
      <c r="E40" s="1014">
        <f t="shared" si="30"/>
        <v>0</v>
      </c>
      <c r="F40" s="321">
        <v>0</v>
      </c>
      <c r="G40" s="322">
        <v>0</v>
      </c>
      <c r="H40" s="323">
        <v>0</v>
      </c>
      <c r="I40" s="1018">
        <f t="shared" si="31"/>
        <v>33.583239999999996</v>
      </c>
      <c r="J40" s="321">
        <v>1.20984</v>
      </c>
      <c r="K40" s="322">
        <v>32.373399999999997</v>
      </c>
      <c r="L40" s="323">
        <v>0</v>
      </c>
      <c r="M40" s="1079">
        <v>0</v>
      </c>
      <c r="N40" s="1020">
        <f t="shared" si="33"/>
        <v>0</v>
      </c>
      <c r="O40" s="322">
        <v>0</v>
      </c>
      <c r="P40" s="323">
        <v>0</v>
      </c>
      <c r="Q40" s="1080">
        <v>0</v>
      </c>
    </row>
    <row r="41" spans="2:17">
      <c r="B41" s="558" t="s">
        <v>603</v>
      </c>
      <c r="C41" s="1022" t="s">
        <v>23</v>
      </c>
      <c r="D41" s="1013">
        <f t="shared" si="36"/>
        <v>2089.3578200000002</v>
      </c>
      <c r="E41" s="1014">
        <f t="shared" si="30"/>
        <v>844.47766999999999</v>
      </c>
      <c r="F41" s="321">
        <v>0</v>
      </c>
      <c r="G41" s="322">
        <v>0</v>
      </c>
      <c r="H41" s="323">
        <v>844.47766999999999</v>
      </c>
      <c r="I41" s="1018">
        <f t="shared" si="31"/>
        <v>1244.88015</v>
      </c>
      <c r="J41" s="321">
        <v>1244.88015</v>
      </c>
      <c r="K41" s="322">
        <v>0</v>
      </c>
      <c r="L41" s="323">
        <v>0</v>
      </c>
      <c r="M41" s="1079">
        <v>0</v>
      </c>
      <c r="N41" s="1020">
        <f t="shared" si="33"/>
        <v>0</v>
      </c>
      <c r="O41" s="322">
        <v>0</v>
      </c>
      <c r="P41" s="323">
        <v>0</v>
      </c>
      <c r="Q41" s="1080">
        <v>0</v>
      </c>
    </row>
    <row r="42" spans="2:17" ht="38.25">
      <c r="B42" s="558" t="s">
        <v>604</v>
      </c>
      <c r="C42" s="1022" t="s">
        <v>593</v>
      </c>
      <c r="D42" s="1013">
        <f t="shared" si="36"/>
        <v>1018.86502</v>
      </c>
      <c r="E42" s="1014">
        <f t="shared" si="30"/>
        <v>176.98856000000001</v>
      </c>
      <c r="F42" s="321">
        <v>15.11894</v>
      </c>
      <c r="G42" s="322">
        <v>160.30143000000001</v>
      </c>
      <c r="H42" s="323">
        <v>1.56819</v>
      </c>
      <c r="I42" s="1018">
        <f t="shared" si="31"/>
        <v>841.87645999999995</v>
      </c>
      <c r="J42" s="321">
        <v>91.391319999999993</v>
      </c>
      <c r="K42" s="322">
        <v>735.92706999999996</v>
      </c>
      <c r="L42" s="323">
        <v>14.558070000000001</v>
      </c>
      <c r="M42" s="1079">
        <v>0</v>
      </c>
      <c r="N42" s="1020">
        <f t="shared" si="33"/>
        <v>0</v>
      </c>
      <c r="O42" s="322">
        <v>0</v>
      </c>
      <c r="P42" s="323">
        <v>0</v>
      </c>
      <c r="Q42" s="1080">
        <v>0</v>
      </c>
    </row>
    <row r="43" spans="2:17">
      <c r="B43" s="556" t="s">
        <v>298</v>
      </c>
      <c r="C43" s="1032" t="s">
        <v>27</v>
      </c>
      <c r="D43" s="1013">
        <f>E43+I43+M43+N43+Q43</f>
        <v>116.90884</v>
      </c>
      <c r="E43" s="1014">
        <f t="shared" si="30"/>
        <v>52.273299999999999</v>
      </c>
      <c r="F43" s="1015">
        <f>SUM(F44:F45)</f>
        <v>46.21078</v>
      </c>
      <c r="G43" s="1016">
        <f>SUM(G44:G45)</f>
        <v>1.0581799999999999</v>
      </c>
      <c r="H43" s="1017">
        <f>SUM(H44:H45)</f>
        <v>5.00434</v>
      </c>
      <c r="I43" s="1018">
        <f t="shared" si="31"/>
        <v>64.635539999999992</v>
      </c>
      <c r="J43" s="1015">
        <f t="shared" ref="J43:Q43" si="37">SUM(J44:J45)</f>
        <v>39.80782</v>
      </c>
      <c r="K43" s="1016">
        <f t="shared" si="37"/>
        <v>7.1444900000000002</v>
      </c>
      <c r="L43" s="1017">
        <f t="shared" si="37"/>
        <v>17.683230000000002</v>
      </c>
      <c r="M43" s="1019">
        <f t="shared" si="37"/>
        <v>0</v>
      </c>
      <c r="N43" s="1020">
        <f t="shared" si="33"/>
        <v>0</v>
      </c>
      <c r="O43" s="1016">
        <f t="shared" si="37"/>
        <v>0</v>
      </c>
      <c r="P43" s="1017">
        <f t="shared" si="37"/>
        <v>0</v>
      </c>
      <c r="Q43" s="1014">
        <f t="shared" si="37"/>
        <v>0</v>
      </c>
    </row>
    <row r="44" spans="2:17" ht="51.75">
      <c r="B44" s="558" t="s">
        <v>300</v>
      </c>
      <c r="C44" s="1033" t="s">
        <v>29</v>
      </c>
      <c r="D44" s="1013">
        <f t="shared" ref="D44:D45" si="38">E44+I44+M44+N44+Q44</f>
        <v>111.46104</v>
      </c>
      <c r="E44" s="1014">
        <f t="shared" si="30"/>
        <v>52.273299999999999</v>
      </c>
      <c r="F44" s="321">
        <v>46.21078</v>
      </c>
      <c r="G44" s="322">
        <v>1.0581799999999999</v>
      </c>
      <c r="H44" s="323">
        <v>5.00434</v>
      </c>
      <c r="I44" s="1018">
        <f t="shared" si="31"/>
        <v>59.187739999999998</v>
      </c>
      <c r="J44" s="321">
        <v>37.013579999999997</v>
      </c>
      <c r="K44" s="322">
        <v>6.5162300000000002</v>
      </c>
      <c r="L44" s="323">
        <v>15.65793</v>
      </c>
      <c r="M44" s="1079">
        <v>0</v>
      </c>
      <c r="N44" s="1020">
        <f t="shared" si="33"/>
        <v>0</v>
      </c>
      <c r="O44" s="322">
        <v>0</v>
      </c>
      <c r="P44" s="323">
        <v>0</v>
      </c>
      <c r="Q44" s="1080">
        <v>0</v>
      </c>
    </row>
    <row r="45" spans="2:17">
      <c r="B45" s="558" t="s">
        <v>301</v>
      </c>
      <c r="C45" s="1033" t="s">
        <v>31</v>
      </c>
      <c r="D45" s="1013">
        <f t="shared" si="38"/>
        <v>5.4478</v>
      </c>
      <c r="E45" s="1014">
        <f t="shared" si="30"/>
        <v>0</v>
      </c>
      <c r="F45" s="321">
        <v>0</v>
      </c>
      <c r="G45" s="322">
        <v>0</v>
      </c>
      <c r="H45" s="323">
        <v>0</v>
      </c>
      <c r="I45" s="1018">
        <f t="shared" si="31"/>
        <v>5.4478</v>
      </c>
      <c r="J45" s="321">
        <v>2.7942399999999998</v>
      </c>
      <c r="K45" s="322">
        <v>0.62826000000000004</v>
      </c>
      <c r="L45" s="323">
        <v>2.0253000000000001</v>
      </c>
      <c r="M45" s="1079">
        <v>0</v>
      </c>
      <c r="N45" s="1020">
        <f t="shared" si="33"/>
        <v>0</v>
      </c>
      <c r="O45" s="322">
        <v>0</v>
      </c>
      <c r="P45" s="323">
        <v>0</v>
      </c>
      <c r="Q45" s="1080">
        <v>0</v>
      </c>
    </row>
    <row r="46" spans="2:17">
      <c r="B46" s="556" t="s">
        <v>303</v>
      </c>
      <c r="C46" s="1032" t="s">
        <v>33</v>
      </c>
      <c r="D46" s="1013">
        <f>E46+I46+M46+N46+Q46</f>
        <v>27.3306</v>
      </c>
      <c r="E46" s="1014">
        <f t="shared" si="30"/>
        <v>7.6147100000000005</v>
      </c>
      <c r="F46" s="1015">
        <f>SUM(F47:F48)</f>
        <v>0.58418999999999999</v>
      </c>
      <c r="G46" s="1016">
        <f>SUM(G47:G48)</f>
        <v>7.0305200000000001</v>
      </c>
      <c r="H46" s="1017">
        <f>SUM(H47:H48)</f>
        <v>0</v>
      </c>
      <c r="I46" s="1018">
        <f t="shared" si="31"/>
        <v>0.70426</v>
      </c>
      <c r="J46" s="1015">
        <f t="shared" ref="J46:Q46" si="39">SUM(J47:J48)</f>
        <v>0.70426</v>
      </c>
      <c r="K46" s="1016">
        <f t="shared" si="39"/>
        <v>0</v>
      </c>
      <c r="L46" s="1017">
        <f t="shared" si="39"/>
        <v>0</v>
      </c>
      <c r="M46" s="1019">
        <f t="shared" si="39"/>
        <v>0</v>
      </c>
      <c r="N46" s="1020">
        <f t="shared" si="33"/>
        <v>19.01163</v>
      </c>
      <c r="O46" s="1016">
        <f t="shared" si="39"/>
        <v>19.01163</v>
      </c>
      <c r="P46" s="1017">
        <f t="shared" si="39"/>
        <v>0</v>
      </c>
      <c r="Q46" s="1014">
        <f t="shared" si="39"/>
        <v>0</v>
      </c>
    </row>
    <row r="47" spans="2:17">
      <c r="B47" s="558" t="s">
        <v>304</v>
      </c>
      <c r="C47" s="1033" t="s">
        <v>595</v>
      </c>
      <c r="D47" s="1013">
        <f t="shared" ref="D47:D48" si="40">E47+I47+M47+N47+Q47</f>
        <v>19.01163</v>
      </c>
      <c r="E47" s="1014">
        <f t="shared" si="30"/>
        <v>0</v>
      </c>
      <c r="F47" s="321">
        <v>0</v>
      </c>
      <c r="G47" s="322">
        <v>0</v>
      </c>
      <c r="H47" s="323">
        <v>0</v>
      </c>
      <c r="I47" s="1018">
        <f t="shared" si="31"/>
        <v>0</v>
      </c>
      <c r="J47" s="321">
        <v>0</v>
      </c>
      <c r="K47" s="322">
        <v>0</v>
      </c>
      <c r="L47" s="323">
        <v>0</v>
      </c>
      <c r="M47" s="1079">
        <v>0</v>
      </c>
      <c r="N47" s="1020">
        <f t="shared" si="33"/>
        <v>19.01163</v>
      </c>
      <c r="O47" s="595">
        <v>19.01163</v>
      </c>
      <c r="P47" s="598">
        <v>0</v>
      </c>
      <c r="Q47" s="1080">
        <v>0</v>
      </c>
    </row>
    <row r="48" spans="2:17" ht="26.25">
      <c r="B48" s="558" t="s">
        <v>304</v>
      </c>
      <c r="C48" s="1081" t="s">
        <v>597</v>
      </c>
      <c r="D48" s="1013">
        <f t="shared" si="40"/>
        <v>8.3189700000000002</v>
      </c>
      <c r="E48" s="1014">
        <f t="shared" si="30"/>
        <v>7.6147100000000005</v>
      </c>
      <c r="F48" s="321">
        <v>0.58418999999999999</v>
      </c>
      <c r="G48" s="322">
        <v>7.0305200000000001</v>
      </c>
      <c r="H48" s="323">
        <v>0</v>
      </c>
      <c r="I48" s="1018">
        <f t="shared" si="31"/>
        <v>0.70426</v>
      </c>
      <c r="J48" s="321">
        <v>0.70426</v>
      </c>
      <c r="K48" s="322">
        <v>0</v>
      </c>
      <c r="L48" s="323">
        <v>0</v>
      </c>
      <c r="M48" s="1079">
        <v>0</v>
      </c>
      <c r="N48" s="1020">
        <f t="shared" si="33"/>
        <v>0</v>
      </c>
      <c r="O48" s="595">
        <v>0</v>
      </c>
      <c r="P48" s="598">
        <v>0</v>
      </c>
      <c r="Q48" s="1080">
        <v>0</v>
      </c>
    </row>
    <row r="49" spans="2:18">
      <c r="B49" s="556" t="s">
        <v>308</v>
      </c>
      <c r="C49" s="1045" t="s">
        <v>39</v>
      </c>
      <c r="D49" s="1013">
        <f>E49+I49+M49+N49+Q49</f>
        <v>34.766149999999996</v>
      </c>
      <c r="E49" s="1046">
        <f t="shared" si="30"/>
        <v>4.4357499999999996</v>
      </c>
      <c r="F49" s="1047">
        <f>SUM(F50:F51)</f>
        <v>0</v>
      </c>
      <c r="G49" s="1048">
        <f>SUM(G50:G51)</f>
        <v>0</v>
      </c>
      <c r="H49" s="1049">
        <f>SUM(H50:H51)</f>
        <v>4.4357499999999996</v>
      </c>
      <c r="I49" s="1050">
        <f t="shared" si="31"/>
        <v>28.147739999999999</v>
      </c>
      <c r="J49" s="1047">
        <f t="shared" ref="J49:Q49" si="41">SUM(J50:J51)</f>
        <v>17.909949999999998</v>
      </c>
      <c r="K49" s="1048">
        <f t="shared" si="41"/>
        <v>0</v>
      </c>
      <c r="L49" s="1049">
        <f t="shared" si="41"/>
        <v>10.23779</v>
      </c>
      <c r="M49" s="1051">
        <f t="shared" si="41"/>
        <v>1.4273199999999999</v>
      </c>
      <c r="N49" s="1052">
        <f t="shared" si="33"/>
        <v>8.7279999999999996E-2</v>
      </c>
      <c r="O49" s="1048">
        <f t="shared" si="41"/>
        <v>8.7279999999999996E-2</v>
      </c>
      <c r="P49" s="1049">
        <f t="shared" si="41"/>
        <v>0</v>
      </c>
      <c r="Q49" s="1046">
        <f t="shared" si="41"/>
        <v>0.66805999999999999</v>
      </c>
    </row>
    <row r="50" spans="2:18">
      <c r="B50" s="574" t="s">
        <v>310</v>
      </c>
      <c r="C50" s="1054" t="s">
        <v>41</v>
      </c>
      <c r="D50" s="1013">
        <f t="shared" ref="D50:D51" si="42">E50+I50+M50+N50+Q50</f>
        <v>5.9503499999999994</v>
      </c>
      <c r="E50" s="1014">
        <f t="shared" si="30"/>
        <v>4.4357499999999996</v>
      </c>
      <c r="F50" s="321">
        <v>0</v>
      </c>
      <c r="G50" s="322">
        <v>0</v>
      </c>
      <c r="H50" s="323">
        <v>4.4357499999999996</v>
      </c>
      <c r="I50" s="1050">
        <f t="shared" si="31"/>
        <v>0</v>
      </c>
      <c r="J50" s="321">
        <v>0</v>
      </c>
      <c r="K50" s="322">
        <v>0</v>
      </c>
      <c r="L50" s="323">
        <v>0</v>
      </c>
      <c r="M50" s="1079">
        <v>1.4273199999999999</v>
      </c>
      <c r="N50" s="1020">
        <f t="shared" si="33"/>
        <v>8.7279999999999996E-2</v>
      </c>
      <c r="O50" s="602">
        <v>8.7279999999999996E-2</v>
      </c>
      <c r="P50" s="605">
        <v>0</v>
      </c>
      <c r="Q50" s="1080">
        <v>0</v>
      </c>
    </row>
    <row r="51" spans="2:18" ht="26.25">
      <c r="B51" s="574" t="s">
        <v>312</v>
      </c>
      <c r="C51" s="1063" t="s">
        <v>43</v>
      </c>
      <c r="D51" s="1013">
        <f t="shared" si="42"/>
        <v>28.815799999999999</v>
      </c>
      <c r="E51" s="1014">
        <f t="shared" si="30"/>
        <v>0</v>
      </c>
      <c r="F51" s="321">
        <v>0</v>
      </c>
      <c r="G51" s="322">
        <v>0</v>
      </c>
      <c r="H51" s="323">
        <v>0</v>
      </c>
      <c r="I51" s="1050">
        <f t="shared" si="31"/>
        <v>28.147739999999999</v>
      </c>
      <c r="J51" s="321">
        <v>17.909949999999998</v>
      </c>
      <c r="K51" s="322">
        <v>0</v>
      </c>
      <c r="L51" s="323">
        <v>10.23779</v>
      </c>
      <c r="M51" s="1079">
        <v>0</v>
      </c>
      <c r="N51" s="1020">
        <f t="shared" si="33"/>
        <v>0</v>
      </c>
      <c r="O51" s="607">
        <v>0</v>
      </c>
      <c r="P51" s="610">
        <v>0</v>
      </c>
      <c r="Q51" s="1080">
        <v>0.66805999999999999</v>
      </c>
    </row>
    <row r="52" spans="2:18">
      <c r="B52" s="580" t="s">
        <v>314</v>
      </c>
      <c r="C52" s="1069" t="s">
        <v>598</v>
      </c>
      <c r="D52" s="1013">
        <f>E52+I52+M52+N52+Q52</f>
        <v>5.7540000000000001E-2</v>
      </c>
      <c r="E52" s="1046">
        <f t="shared" si="30"/>
        <v>0</v>
      </c>
      <c r="F52" s="1047">
        <f>SUM(F53:F55)</f>
        <v>0</v>
      </c>
      <c r="G52" s="1048">
        <f>SUM(G53:G55)</f>
        <v>0</v>
      </c>
      <c r="H52" s="1049">
        <f>SUM(H53:H55)</f>
        <v>0</v>
      </c>
      <c r="I52" s="1050">
        <f t="shared" si="31"/>
        <v>5.7540000000000001E-2</v>
      </c>
      <c r="J52" s="1047">
        <f t="shared" ref="J52:Q52" si="43">SUM(J53:J55)</f>
        <v>0</v>
      </c>
      <c r="K52" s="1048">
        <f t="shared" si="43"/>
        <v>5.7540000000000001E-2</v>
      </c>
      <c r="L52" s="1049">
        <f t="shared" si="43"/>
        <v>0</v>
      </c>
      <c r="M52" s="1051">
        <f t="shared" si="43"/>
        <v>0</v>
      </c>
      <c r="N52" s="1052">
        <f t="shared" si="33"/>
        <v>0</v>
      </c>
      <c r="O52" s="1048">
        <f t="shared" si="43"/>
        <v>0</v>
      </c>
      <c r="P52" s="1049">
        <f t="shared" si="43"/>
        <v>0</v>
      </c>
      <c r="Q52" s="1046">
        <f t="shared" si="43"/>
        <v>0</v>
      </c>
    </row>
    <row r="53" spans="2:18">
      <c r="B53" s="582" t="s">
        <v>316</v>
      </c>
      <c r="C53" s="1070" t="s">
        <v>599</v>
      </c>
      <c r="D53" s="1013">
        <f t="shared" ref="D53:D55" si="44">E53+I53+M53+N53+Q53</f>
        <v>0</v>
      </c>
      <c r="E53" s="1014">
        <f t="shared" si="30"/>
        <v>0</v>
      </c>
      <c r="F53" s="321">
        <v>0</v>
      </c>
      <c r="G53" s="322">
        <v>0</v>
      </c>
      <c r="H53" s="323">
        <v>0</v>
      </c>
      <c r="I53" s="1050">
        <f t="shared" si="31"/>
        <v>0</v>
      </c>
      <c r="J53" s="321">
        <v>0</v>
      </c>
      <c r="K53" s="322">
        <v>0</v>
      </c>
      <c r="L53" s="323">
        <v>0</v>
      </c>
      <c r="M53" s="1079">
        <v>0</v>
      </c>
      <c r="N53" s="1020">
        <f t="shared" si="33"/>
        <v>0</v>
      </c>
      <c r="O53" s="607">
        <v>0</v>
      </c>
      <c r="P53" s="610">
        <v>0</v>
      </c>
      <c r="Q53" s="1080">
        <v>0</v>
      </c>
    </row>
    <row r="54" spans="2:18">
      <c r="B54" s="582" t="s">
        <v>605</v>
      </c>
      <c r="C54" s="1070" t="s">
        <v>599</v>
      </c>
      <c r="D54" s="1013">
        <f t="shared" si="44"/>
        <v>0</v>
      </c>
      <c r="E54" s="1014">
        <f t="shared" si="30"/>
        <v>0</v>
      </c>
      <c r="F54" s="321">
        <v>0</v>
      </c>
      <c r="G54" s="322">
        <v>0</v>
      </c>
      <c r="H54" s="323">
        <v>0</v>
      </c>
      <c r="I54" s="1050">
        <f t="shared" si="31"/>
        <v>0</v>
      </c>
      <c r="J54" s="321">
        <v>0</v>
      </c>
      <c r="K54" s="322">
        <v>0</v>
      </c>
      <c r="L54" s="323">
        <v>0</v>
      </c>
      <c r="M54" s="1079">
        <v>0</v>
      </c>
      <c r="N54" s="1020">
        <f t="shared" si="33"/>
        <v>0</v>
      </c>
      <c r="O54" s="607">
        <v>0</v>
      </c>
      <c r="P54" s="610">
        <v>0</v>
      </c>
      <c r="Q54" s="1080">
        <v>0</v>
      </c>
    </row>
    <row r="55" spans="2:18">
      <c r="B55" s="584" t="s">
        <v>606</v>
      </c>
      <c r="C55" s="1070" t="s">
        <v>599</v>
      </c>
      <c r="D55" s="1013">
        <f t="shared" si="44"/>
        <v>5.7540000000000001E-2</v>
      </c>
      <c r="E55" s="1082">
        <f t="shared" si="30"/>
        <v>0</v>
      </c>
      <c r="F55" s="1083">
        <v>0</v>
      </c>
      <c r="G55" s="1084">
        <v>0</v>
      </c>
      <c r="H55" s="1085">
        <v>0</v>
      </c>
      <c r="I55" s="1050">
        <f t="shared" si="31"/>
        <v>5.7540000000000001E-2</v>
      </c>
      <c r="J55" s="1083">
        <v>0</v>
      </c>
      <c r="K55" s="1084">
        <v>5.7540000000000001E-2</v>
      </c>
      <c r="L55" s="1085">
        <v>0</v>
      </c>
      <c r="M55" s="1086">
        <v>0</v>
      </c>
      <c r="N55" s="1087">
        <f t="shared" si="33"/>
        <v>0</v>
      </c>
      <c r="O55" s="612">
        <v>0</v>
      </c>
      <c r="P55" s="615">
        <v>0</v>
      </c>
      <c r="Q55" s="1088">
        <v>0</v>
      </c>
    </row>
    <row r="56" spans="2:18">
      <c r="B56" s="549" t="s">
        <v>59</v>
      </c>
      <c r="C56" s="549" t="s">
        <v>607</v>
      </c>
      <c r="D56" s="1089">
        <f t="shared" ref="D56" si="45">D57+D61+D66+D69+D72+D75</f>
        <v>31.89705</v>
      </c>
      <c r="E56" s="554">
        <f t="shared" ref="E56:Q56" si="46">E57+E61+E66+E69+E72+E75</f>
        <v>10.730222893110998</v>
      </c>
      <c r="F56" s="551">
        <f t="shared" si="46"/>
        <v>0.73432493895400008</v>
      </c>
      <c r="G56" s="552">
        <f t="shared" si="46"/>
        <v>0.69764188512900005</v>
      </c>
      <c r="H56" s="555">
        <f t="shared" si="46"/>
        <v>9.2982560690279996</v>
      </c>
      <c r="I56" s="550">
        <f t="shared" si="46"/>
        <v>20.229533118710002</v>
      </c>
      <c r="J56" s="551">
        <f t="shared" si="46"/>
        <v>15.415419753572001</v>
      </c>
      <c r="K56" s="552">
        <f t="shared" si="46"/>
        <v>4.3981445966479997</v>
      </c>
      <c r="L56" s="555">
        <f t="shared" si="46"/>
        <v>0.41596876848999997</v>
      </c>
      <c r="M56" s="1090">
        <f t="shared" si="46"/>
        <v>2.6151217229999999E-3</v>
      </c>
      <c r="N56" s="1010">
        <f t="shared" si="46"/>
        <v>5.8620398490000003E-2</v>
      </c>
      <c r="O56" s="552">
        <f t="shared" si="46"/>
        <v>5.8620398490000003E-2</v>
      </c>
      <c r="P56" s="555">
        <f t="shared" si="46"/>
        <v>0</v>
      </c>
      <c r="Q56" s="554">
        <f t="shared" si="46"/>
        <v>2.227351598E-3</v>
      </c>
      <c r="R56" s="617"/>
    </row>
    <row r="57" spans="2:18">
      <c r="B57" s="556" t="s">
        <v>147</v>
      </c>
      <c r="C57" s="557" t="s">
        <v>8</v>
      </c>
      <c r="D57" s="1091">
        <f>SUM(D58:D60)</f>
        <v>0.78629000000000004</v>
      </c>
      <c r="E57" s="149">
        <f t="shared" ref="E57:E78" si="47">SUM(F57:H57)</f>
        <v>0.27197385817899999</v>
      </c>
      <c r="F57" s="146">
        <f>SUM(F58:F60)</f>
        <v>1.8612585106000001E-2</v>
      </c>
      <c r="G57" s="147">
        <f>SUM(G58:G60)</f>
        <v>1.7682797181E-2</v>
      </c>
      <c r="H57" s="148">
        <f>SUM(H58:H60)</f>
        <v>0.235678475892</v>
      </c>
      <c r="I57" s="145">
        <f t="shared" ref="I57:I78" si="48">SUM(J57:L57)</f>
        <v>0.51274835818999998</v>
      </c>
      <c r="J57" s="146">
        <f t="shared" ref="J57:Q57" si="49">SUM(J58:J60)</f>
        <v>0.39072731550799999</v>
      </c>
      <c r="K57" s="147">
        <f t="shared" si="49"/>
        <v>0.11147768007200001</v>
      </c>
      <c r="L57" s="148">
        <f t="shared" si="49"/>
        <v>1.0543362610000001E-2</v>
      </c>
      <c r="M57" s="1092">
        <f t="shared" si="49"/>
        <v>6.6284247000000007E-5</v>
      </c>
      <c r="N57" s="1020">
        <f t="shared" ref="N57:N78" si="50">SUM(O57:P57)</f>
        <v>1.445043762E-3</v>
      </c>
      <c r="O57" s="147">
        <f t="shared" si="49"/>
        <v>1.445043762E-3</v>
      </c>
      <c r="P57" s="148">
        <f t="shared" si="49"/>
        <v>0</v>
      </c>
      <c r="Q57" s="149">
        <f t="shared" si="49"/>
        <v>5.6455621999999995E-5</v>
      </c>
    </row>
    <row r="58" spans="2:18">
      <c r="B58" s="558" t="s">
        <v>406</v>
      </c>
      <c r="C58" s="559" t="s">
        <v>10</v>
      </c>
      <c r="D58" s="1093">
        <v>0.78629000000000004</v>
      </c>
      <c r="E58" s="619">
        <f t="shared" si="47"/>
        <v>0.27197385817899999</v>
      </c>
      <c r="F58" s="372">
        <f t="shared" ref="F58:H60" si="51">IFERROR($D58*F80/100, 0)</f>
        <v>1.8612585106000001E-2</v>
      </c>
      <c r="G58" s="373">
        <f t="shared" si="51"/>
        <v>1.7682797181E-2</v>
      </c>
      <c r="H58" s="374">
        <f t="shared" si="51"/>
        <v>0.235678475892</v>
      </c>
      <c r="I58" s="320">
        <f t="shared" si="48"/>
        <v>0.51274835818999998</v>
      </c>
      <c r="J58" s="372">
        <f t="shared" ref="J58:Q60" si="52">IFERROR($D58*J80/100, 0)</f>
        <v>0.39072731550799999</v>
      </c>
      <c r="K58" s="373">
        <f t="shared" si="52"/>
        <v>0.11147768007200001</v>
      </c>
      <c r="L58" s="374">
        <f t="shared" si="52"/>
        <v>1.0543362610000001E-2</v>
      </c>
      <c r="M58" s="1094">
        <f t="shared" si="52"/>
        <v>6.6284247000000007E-5</v>
      </c>
      <c r="N58" s="1095">
        <f t="shared" si="50"/>
        <v>1.445043762E-3</v>
      </c>
      <c r="O58" s="373">
        <f t="shared" si="52"/>
        <v>1.445043762E-3</v>
      </c>
      <c r="P58" s="374">
        <f t="shared" si="52"/>
        <v>0</v>
      </c>
      <c r="Q58" s="619">
        <f t="shared" si="52"/>
        <v>5.6455621999999995E-5</v>
      </c>
    </row>
    <row r="59" spans="2:18">
      <c r="B59" s="558" t="s">
        <v>407</v>
      </c>
      <c r="C59" s="559" t="s">
        <v>11</v>
      </c>
      <c r="D59" s="1093">
        <v>0</v>
      </c>
      <c r="E59" s="619">
        <f t="shared" si="47"/>
        <v>0</v>
      </c>
      <c r="F59" s="372">
        <f t="shared" si="51"/>
        <v>0</v>
      </c>
      <c r="G59" s="373">
        <f t="shared" si="51"/>
        <v>0</v>
      </c>
      <c r="H59" s="374">
        <f t="shared" si="51"/>
        <v>0</v>
      </c>
      <c r="I59" s="320">
        <f t="shared" si="48"/>
        <v>0</v>
      </c>
      <c r="J59" s="372">
        <f t="shared" si="52"/>
        <v>0</v>
      </c>
      <c r="K59" s="373">
        <f t="shared" si="52"/>
        <v>0</v>
      </c>
      <c r="L59" s="374">
        <f t="shared" si="52"/>
        <v>0</v>
      </c>
      <c r="M59" s="1094">
        <f t="shared" si="52"/>
        <v>0</v>
      </c>
      <c r="N59" s="1095">
        <f t="shared" si="50"/>
        <v>0</v>
      </c>
      <c r="O59" s="373">
        <f t="shared" si="52"/>
        <v>0</v>
      </c>
      <c r="P59" s="374">
        <f t="shared" si="52"/>
        <v>0</v>
      </c>
      <c r="Q59" s="619">
        <f t="shared" si="52"/>
        <v>0</v>
      </c>
    </row>
    <row r="60" spans="2:18">
      <c r="B60" s="558" t="s">
        <v>608</v>
      </c>
      <c r="C60" s="559" t="s">
        <v>13</v>
      </c>
      <c r="D60" s="1093">
        <v>0</v>
      </c>
      <c r="E60" s="619">
        <f t="shared" si="47"/>
        <v>0</v>
      </c>
      <c r="F60" s="372">
        <f t="shared" si="51"/>
        <v>0</v>
      </c>
      <c r="G60" s="373">
        <f t="shared" si="51"/>
        <v>0</v>
      </c>
      <c r="H60" s="374">
        <f t="shared" si="51"/>
        <v>0</v>
      </c>
      <c r="I60" s="320">
        <f t="shared" si="48"/>
        <v>0</v>
      </c>
      <c r="J60" s="372">
        <f t="shared" si="52"/>
        <v>0</v>
      </c>
      <c r="K60" s="373">
        <f t="shared" si="52"/>
        <v>0</v>
      </c>
      <c r="L60" s="374">
        <f t="shared" si="52"/>
        <v>0</v>
      </c>
      <c r="M60" s="1094">
        <f t="shared" si="52"/>
        <v>0</v>
      </c>
      <c r="N60" s="1095">
        <f t="shared" si="50"/>
        <v>0</v>
      </c>
      <c r="O60" s="373">
        <f t="shared" si="52"/>
        <v>0</v>
      </c>
      <c r="P60" s="374">
        <f t="shared" si="52"/>
        <v>0</v>
      </c>
      <c r="Q60" s="619">
        <f t="shared" si="52"/>
        <v>0</v>
      </c>
    </row>
    <row r="61" spans="2:18">
      <c r="B61" s="556" t="s">
        <v>149</v>
      </c>
      <c r="C61" s="560" t="s">
        <v>15</v>
      </c>
      <c r="D61" s="1091">
        <f>SUM(D62:D65)</f>
        <v>9.8858999999999995</v>
      </c>
      <c r="E61" s="149">
        <f t="shared" si="47"/>
        <v>3.4194843690899996</v>
      </c>
      <c r="F61" s="146">
        <f>SUM(F62:F65)</f>
        <v>0.23401309326</v>
      </c>
      <c r="G61" s="147">
        <f>SUM(G62:G65)</f>
        <v>0.22232301650999997</v>
      </c>
      <c r="H61" s="148">
        <f>SUM(H62:H65)</f>
        <v>2.9631482593199996</v>
      </c>
      <c r="I61" s="145">
        <f t="shared" si="48"/>
        <v>6.4467041349</v>
      </c>
      <c r="J61" s="146">
        <f t="shared" ref="J61:Q61" si="53">SUM(J62:J65)</f>
        <v>4.9125528346800005</v>
      </c>
      <c r="K61" s="147">
        <f t="shared" si="53"/>
        <v>1.4015912671199999</v>
      </c>
      <c r="L61" s="148">
        <f t="shared" si="53"/>
        <v>0.13256003309999997</v>
      </c>
      <c r="M61" s="1092">
        <f t="shared" si="53"/>
        <v>8.3338136999999994E-4</v>
      </c>
      <c r="N61" s="1020">
        <f t="shared" si="50"/>
        <v>1.816830702E-2</v>
      </c>
      <c r="O61" s="147">
        <f t="shared" si="53"/>
        <v>1.816830702E-2</v>
      </c>
      <c r="P61" s="148">
        <f t="shared" si="53"/>
        <v>0</v>
      </c>
      <c r="Q61" s="149">
        <f t="shared" si="53"/>
        <v>7.0980761999999992E-4</v>
      </c>
    </row>
    <row r="62" spans="2:18">
      <c r="B62" s="558" t="s">
        <v>151</v>
      </c>
      <c r="C62" s="559" t="s">
        <v>17</v>
      </c>
      <c r="D62" s="1093">
        <v>9.8858999999999995</v>
      </c>
      <c r="E62" s="619">
        <f t="shared" si="47"/>
        <v>3.4194843690899996</v>
      </c>
      <c r="F62" s="372">
        <f t="shared" ref="F62:H65" si="54">IFERROR($D62*F83/100, 0)</f>
        <v>0.23401309326</v>
      </c>
      <c r="G62" s="373">
        <f t="shared" si="54"/>
        <v>0.22232301650999997</v>
      </c>
      <c r="H62" s="374">
        <f t="shared" si="54"/>
        <v>2.9631482593199996</v>
      </c>
      <c r="I62" s="320">
        <f t="shared" si="48"/>
        <v>6.4467041349</v>
      </c>
      <c r="J62" s="372">
        <f t="shared" ref="J62:Q65" si="55">IFERROR($D62*J83/100, 0)</f>
        <v>4.9125528346800005</v>
      </c>
      <c r="K62" s="373">
        <f t="shared" si="55"/>
        <v>1.4015912671199999</v>
      </c>
      <c r="L62" s="374">
        <f t="shared" si="55"/>
        <v>0.13256003309999997</v>
      </c>
      <c r="M62" s="1094">
        <f t="shared" si="55"/>
        <v>8.3338136999999994E-4</v>
      </c>
      <c r="N62" s="1095">
        <f t="shared" si="50"/>
        <v>1.816830702E-2</v>
      </c>
      <c r="O62" s="373">
        <f t="shared" si="55"/>
        <v>1.816830702E-2</v>
      </c>
      <c r="P62" s="374">
        <f t="shared" si="55"/>
        <v>0</v>
      </c>
      <c r="Q62" s="619">
        <f t="shared" si="55"/>
        <v>7.0980761999999992E-4</v>
      </c>
    </row>
    <row r="63" spans="2:18">
      <c r="B63" s="558" t="s">
        <v>153</v>
      </c>
      <c r="C63" s="559" t="s">
        <v>591</v>
      </c>
      <c r="D63" s="1093">
        <v>0</v>
      </c>
      <c r="E63" s="619">
        <f t="shared" si="47"/>
        <v>0</v>
      </c>
      <c r="F63" s="372">
        <f t="shared" si="54"/>
        <v>0</v>
      </c>
      <c r="G63" s="373">
        <f t="shared" si="54"/>
        <v>0</v>
      </c>
      <c r="H63" s="374">
        <f t="shared" si="54"/>
        <v>0</v>
      </c>
      <c r="I63" s="320">
        <f t="shared" si="48"/>
        <v>0</v>
      </c>
      <c r="J63" s="372">
        <f t="shared" si="55"/>
        <v>0</v>
      </c>
      <c r="K63" s="373">
        <f t="shared" si="55"/>
        <v>0</v>
      </c>
      <c r="L63" s="374">
        <f t="shared" si="55"/>
        <v>0</v>
      </c>
      <c r="M63" s="1094">
        <f t="shared" si="55"/>
        <v>0</v>
      </c>
      <c r="N63" s="1095">
        <f t="shared" si="50"/>
        <v>0</v>
      </c>
      <c r="O63" s="373">
        <f t="shared" si="55"/>
        <v>0</v>
      </c>
      <c r="P63" s="374">
        <f t="shared" si="55"/>
        <v>0</v>
      </c>
      <c r="Q63" s="619">
        <f t="shared" si="55"/>
        <v>0</v>
      </c>
    </row>
    <row r="64" spans="2:18">
      <c r="B64" s="558" t="s">
        <v>155</v>
      </c>
      <c r="C64" s="559" t="s">
        <v>23</v>
      </c>
      <c r="D64" s="1093">
        <v>0</v>
      </c>
      <c r="E64" s="619">
        <f t="shared" si="47"/>
        <v>0</v>
      </c>
      <c r="F64" s="372">
        <f t="shared" si="54"/>
        <v>0</v>
      </c>
      <c r="G64" s="373">
        <f t="shared" si="54"/>
        <v>0</v>
      </c>
      <c r="H64" s="374">
        <f t="shared" si="54"/>
        <v>0</v>
      </c>
      <c r="I64" s="320">
        <f t="shared" si="48"/>
        <v>0</v>
      </c>
      <c r="J64" s="372">
        <f t="shared" si="55"/>
        <v>0</v>
      </c>
      <c r="K64" s="373">
        <f t="shared" si="55"/>
        <v>0</v>
      </c>
      <c r="L64" s="374">
        <f t="shared" si="55"/>
        <v>0</v>
      </c>
      <c r="M64" s="1094">
        <f t="shared" si="55"/>
        <v>0</v>
      </c>
      <c r="N64" s="1095">
        <f t="shared" si="50"/>
        <v>0</v>
      </c>
      <c r="O64" s="373">
        <f t="shared" si="55"/>
        <v>0</v>
      </c>
      <c r="P64" s="374">
        <f t="shared" si="55"/>
        <v>0</v>
      </c>
      <c r="Q64" s="619">
        <f t="shared" si="55"/>
        <v>0</v>
      </c>
    </row>
    <row r="65" spans="2:17" ht="38.25">
      <c r="B65" s="558" t="s">
        <v>609</v>
      </c>
      <c r="C65" s="559" t="s">
        <v>593</v>
      </c>
      <c r="D65" s="1093">
        <v>0</v>
      </c>
      <c r="E65" s="619">
        <f t="shared" si="47"/>
        <v>0</v>
      </c>
      <c r="F65" s="372">
        <f t="shared" si="54"/>
        <v>0</v>
      </c>
      <c r="G65" s="373">
        <f t="shared" si="54"/>
        <v>0</v>
      </c>
      <c r="H65" s="374">
        <f t="shared" si="54"/>
        <v>0</v>
      </c>
      <c r="I65" s="320">
        <f t="shared" si="48"/>
        <v>0</v>
      </c>
      <c r="J65" s="372">
        <f t="shared" si="55"/>
        <v>0</v>
      </c>
      <c r="K65" s="373">
        <f t="shared" si="55"/>
        <v>0</v>
      </c>
      <c r="L65" s="374">
        <f t="shared" si="55"/>
        <v>0</v>
      </c>
      <c r="M65" s="1094">
        <f t="shared" si="55"/>
        <v>0</v>
      </c>
      <c r="N65" s="1095">
        <f t="shared" si="50"/>
        <v>0</v>
      </c>
      <c r="O65" s="373">
        <f t="shared" si="55"/>
        <v>0</v>
      </c>
      <c r="P65" s="374">
        <f t="shared" si="55"/>
        <v>0</v>
      </c>
      <c r="Q65" s="619">
        <f t="shared" si="55"/>
        <v>0</v>
      </c>
    </row>
    <row r="66" spans="2:17">
      <c r="B66" s="556" t="s">
        <v>157</v>
      </c>
      <c r="C66" s="562" t="s">
        <v>27</v>
      </c>
      <c r="D66" s="1091">
        <f>D67+D68</f>
        <v>7.1161000000000003</v>
      </c>
      <c r="E66" s="149">
        <f t="shared" si="47"/>
        <v>2.4614241211099999</v>
      </c>
      <c r="F66" s="146">
        <f>F67+F68</f>
        <v>0.16844804954000001</v>
      </c>
      <c r="G66" s="147">
        <f>G67+G68</f>
        <v>0.16003326129000001</v>
      </c>
      <c r="H66" s="148">
        <f>H67+H68</f>
        <v>2.1329428102799999</v>
      </c>
      <c r="I66" s="145">
        <f t="shared" si="48"/>
        <v>4.6404870871000004</v>
      </c>
      <c r="J66" s="146">
        <f t="shared" ref="J66:Q66" si="56">J67+J68</f>
        <v>3.5361694157200003</v>
      </c>
      <c r="K66" s="147">
        <f t="shared" si="56"/>
        <v>1.00889788648</v>
      </c>
      <c r="L66" s="148">
        <f t="shared" si="56"/>
        <v>9.5419784899999999E-2</v>
      </c>
      <c r="M66" s="1092">
        <f t="shared" si="56"/>
        <v>5.9988722999999996E-4</v>
      </c>
      <c r="N66" s="1020">
        <f t="shared" si="50"/>
        <v>1.3077968580000002E-2</v>
      </c>
      <c r="O66" s="147">
        <f t="shared" si="56"/>
        <v>1.3077968580000002E-2</v>
      </c>
      <c r="P66" s="148">
        <f t="shared" si="56"/>
        <v>0</v>
      </c>
      <c r="Q66" s="149">
        <f t="shared" si="56"/>
        <v>5.1093598E-4</v>
      </c>
    </row>
    <row r="67" spans="2:17" ht="51.75">
      <c r="B67" s="558" t="s">
        <v>408</v>
      </c>
      <c r="C67" s="563" t="s">
        <v>29</v>
      </c>
      <c r="D67" s="1093">
        <v>7.1161000000000003</v>
      </c>
      <c r="E67" s="619">
        <f t="shared" si="47"/>
        <v>2.4614241211099999</v>
      </c>
      <c r="F67" s="372">
        <f t="shared" ref="F67:H68" si="57">IFERROR($D67*F87/100, 0)</f>
        <v>0.16844804954000001</v>
      </c>
      <c r="G67" s="373">
        <f t="shared" si="57"/>
        <v>0.16003326129000001</v>
      </c>
      <c r="H67" s="374">
        <f t="shared" si="57"/>
        <v>2.1329428102799999</v>
      </c>
      <c r="I67" s="320">
        <f t="shared" si="48"/>
        <v>4.6404870871000004</v>
      </c>
      <c r="J67" s="372">
        <f t="shared" ref="J67:Q68" si="58">IFERROR($D67*J87/100, 0)</f>
        <v>3.5361694157200003</v>
      </c>
      <c r="K67" s="373">
        <f t="shared" si="58"/>
        <v>1.00889788648</v>
      </c>
      <c r="L67" s="374">
        <f t="shared" si="58"/>
        <v>9.5419784899999999E-2</v>
      </c>
      <c r="M67" s="1094">
        <f t="shared" si="58"/>
        <v>5.9988722999999996E-4</v>
      </c>
      <c r="N67" s="1095">
        <f t="shared" si="50"/>
        <v>1.3077968580000002E-2</v>
      </c>
      <c r="O67" s="373">
        <f t="shared" si="58"/>
        <v>1.3077968580000002E-2</v>
      </c>
      <c r="P67" s="374">
        <f t="shared" si="58"/>
        <v>0</v>
      </c>
      <c r="Q67" s="619">
        <f t="shared" si="58"/>
        <v>5.1093598E-4</v>
      </c>
    </row>
    <row r="68" spans="2:17">
      <c r="B68" s="558" t="s">
        <v>610</v>
      </c>
      <c r="C68" s="563" t="s">
        <v>31</v>
      </c>
      <c r="D68" s="1093">
        <v>0</v>
      </c>
      <c r="E68" s="619">
        <f t="shared" si="47"/>
        <v>0</v>
      </c>
      <c r="F68" s="372">
        <f t="shared" si="57"/>
        <v>0</v>
      </c>
      <c r="G68" s="373">
        <f t="shared" si="57"/>
        <v>0</v>
      </c>
      <c r="H68" s="374">
        <f t="shared" si="57"/>
        <v>0</v>
      </c>
      <c r="I68" s="320">
        <f t="shared" si="48"/>
        <v>0</v>
      </c>
      <c r="J68" s="372">
        <f t="shared" si="58"/>
        <v>0</v>
      </c>
      <c r="K68" s="373">
        <f t="shared" si="58"/>
        <v>0</v>
      </c>
      <c r="L68" s="374">
        <f t="shared" si="58"/>
        <v>0</v>
      </c>
      <c r="M68" s="1094">
        <f t="shared" si="58"/>
        <v>0</v>
      </c>
      <c r="N68" s="1095">
        <f t="shared" si="50"/>
        <v>0</v>
      </c>
      <c r="O68" s="373">
        <f t="shared" si="58"/>
        <v>0</v>
      </c>
      <c r="P68" s="374">
        <f t="shared" si="58"/>
        <v>0</v>
      </c>
      <c r="Q68" s="619">
        <f t="shared" si="58"/>
        <v>0</v>
      </c>
    </row>
    <row r="69" spans="2:17">
      <c r="B69" s="556" t="s">
        <v>409</v>
      </c>
      <c r="C69" s="562" t="s">
        <v>33</v>
      </c>
      <c r="D69" s="1091">
        <f>D70+D71</f>
        <v>0.57247999999999999</v>
      </c>
      <c r="E69" s="149">
        <f t="shared" si="47"/>
        <v>0.19801802684800002</v>
      </c>
      <c r="F69" s="146">
        <f>F70+F71</f>
        <v>1.3551403072E-2</v>
      </c>
      <c r="G69" s="147">
        <f>G70+G71</f>
        <v>1.2874445471999998E-2</v>
      </c>
      <c r="H69" s="148">
        <f>H70+H71</f>
        <v>0.171592178304</v>
      </c>
      <c r="I69" s="145">
        <f t="shared" si="48"/>
        <v>0.37332050527999999</v>
      </c>
      <c r="J69" s="146">
        <f t="shared" ref="J69:Q69" si="59">J70+J71</f>
        <v>0.284479738496</v>
      </c>
      <c r="K69" s="147">
        <f t="shared" si="59"/>
        <v>8.1164382463999998E-2</v>
      </c>
      <c r="L69" s="148">
        <f t="shared" si="59"/>
        <v>7.6763843199999992E-3</v>
      </c>
      <c r="M69" s="1092">
        <f t="shared" si="59"/>
        <v>4.8260063999999997E-5</v>
      </c>
      <c r="N69" s="1020">
        <f t="shared" si="50"/>
        <v>1.052103744E-3</v>
      </c>
      <c r="O69" s="147">
        <f t="shared" si="59"/>
        <v>1.052103744E-3</v>
      </c>
      <c r="P69" s="148">
        <f t="shared" si="59"/>
        <v>0</v>
      </c>
      <c r="Q69" s="149">
        <f t="shared" si="59"/>
        <v>4.1104064E-5</v>
      </c>
    </row>
    <row r="70" spans="2:17">
      <c r="B70" s="558" t="s">
        <v>410</v>
      </c>
      <c r="C70" s="563" t="s">
        <v>595</v>
      </c>
      <c r="D70" s="1093">
        <v>0</v>
      </c>
      <c r="E70" s="619">
        <f t="shared" si="47"/>
        <v>0</v>
      </c>
      <c r="F70" s="372">
        <f t="shared" ref="F70:H71" si="60">IFERROR($D70*F89/100, 0)</f>
        <v>0</v>
      </c>
      <c r="G70" s="373">
        <f t="shared" si="60"/>
        <v>0</v>
      </c>
      <c r="H70" s="374">
        <f t="shared" si="60"/>
        <v>0</v>
      </c>
      <c r="I70" s="320">
        <f t="shared" si="48"/>
        <v>0</v>
      </c>
      <c r="J70" s="372">
        <f t="shared" ref="J70:Q71" si="61">IFERROR($D70*J89/100, 0)</f>
        <v>0</v>
      </c>
      <c r="K70" s="373">
        <f t="shared" si="61"/>
        <v>0</v>
      </c>
      <c r="L70" s="374">
        <f t="shared" si="61"/>
        <v>0</v>
      </c>
      <c r="M70" s="1094">
        <f t="shared" si="61"/>
        <v>0</v>
      </c>
      <c r="N70" s="1095">
        <f t="shared" si="50"/>
        <v>0</v>
      </c>
      <c r="O70" s="373">
        <f t="shared" si="61"/>
        <v>0</v>
      </c>
      <c r="P70" s="374">
        <f t="shared" si="61"/>
        <v>0</v>
      </c>
      <c r="Q70" s="619">
        <f t="shared" si="61"/>
        <v>0</v>
      </c>
    </row>
    <row r="71" spans="2:17" ht="26.25">
      <c r="B71" s="558" t="s">
        <v>411</v>
      </c>
      <c r="C71" s="599" t="s">
        <v>597</v>
      </c>
      <c r="D71" s="1093">
        <v>0.57247999999999999</v>
      </c>
      <c r="E71" s="619">
        <f t="shared" si="47"/>
        <v>0.19801802684800002</v>
      </c>
      <c r="F71" s="372">
        <f t="shared" si="60"/>
        <v>1.3551403072E-2</v>
      </c>
      <c r="G71" s="373">
        <f t="shared" si="60"/>
        <v>1.2874445471999998E-2</v>
      </c>
      <c r="H71" s="374">
        <f t="shared" si="60"/>
        <v>0.171592178304</v>
      </c>
      <c r="I71" s="320">
        <f t="shared" si="48"/>
        <v>0.37332050527999999</v>
      </c>
      <c r="J71" s="372">
        <f t="shared" si="61"/>
        <v>0.284479738496</v>
      </c>
      <c r="K71" s="373">
        <f t="shared" si="61"/>
        <v>8.1164382463999998E-2</v>
      </c>
      <c r="L71" s="374">
        <f t="shared" si="61"/>
        <v>7.6763843199999992E-3</v>
      </c>
      <c r="M71" s="1094">
        <f t="shared" si="61"/>
        <v>4.8260063999999997E-5</v>
      </c>
      <c r="N71" s="1095">
        <f t="shared" si="50"/>
        <v>1.052103744E-3</v>
      </c>
      <c r="O71" s="373">
        <f t="shared" si="61"/>
        <v>1.052103744E-3</v>
      </c>
      <c r="P71" s="374">
        <f t="shared" si="61"/>
        <v>0</v>
      </c>
      <c r="Q71" s="619">
        <f t="shared" si="61"/>
        <v>4.1104064E-5</v>
      </c>
    </row>
    <row r="72" spans="2:17">
      <c r="B72" s="556" t="s">
        <v>415</v>
      </c>
      <c r="C72" s="568" t="s">
        <v>39</v>
      </c>
      <c r="D72" s="1096">
        <f>D73+D74</f>
        <v>12.66084</v>
      </c>
      <c r="E72" s="573">
        <f t="shared" si="47"/>
        <v>4.3793225178839998</v>
      </c>
      <c r="F72" s="570">
        <f>F73+F74</f>
        <v>0.29969980797599999</v>
      </c>
      <c r="G72" s="571">
        <f>G73+G74</f>
        <v>0.28472836467599999</v>
      </c>
      <c r="H72" s="600">
        <f>H73+H74</f>
        <v>3.7948943452320001</v>
      </c>
      <c r="I72" s="569">
        <f t="shared" si="48"/>
        <v>8.2562730332399994</v>
      </c>
      <c r="J72" s="570">
        <f t="shared" ref="J72:Q72" si="62">J73+J74</f>
        <v>6.2914904491680002</v>
      </c>
      <c r="K72" s="571">
        <f t="shared" si="62"/>
        <v>1.7950133805120001</v>
      </c>
      <c r="L72" s="600">
        <f t="shared" si="62"/>
        <v>0.16976920356</v>
      </c>
      <c r="M72" s="1097">
        <f t="shared" si="62"/>
        <v>1.0673088120000001E-3</v>
      </c>
      <c r="N72" s="1052">
        <f t="shared" si="50"/>
        <v>2.3268091752000002E-2</v>
      </c>
      <c r="O72" s="571">
        <f t="shared" si="62"/>
        <v>2.3268091752000002E-2</v>
      </c>
      <c r="P72" s="600">
        <f t="shared" si="62"/>
        <v>0</v>
      </c>
      <c r="Q72" s="573">
        <f t="shared" si="62"/>
        <v>9.0904831200000003E-4</v>
      </c>
    </row>
    <row r="73" spans="2:17">
      <c r="B73" s="574" t="s">
        <v>611</v>
      </c>
      <c r="C73" s="575" t="s">
        <v>41</v>
      </c>
      <c r="D73" s="1098">
        <v>2.7416299999999998</v>
      </c>
      <c r="E73" s="619">
        <f t="shared" si="47"/>
        <v>0.94831638301299992</v>
      </c>
      <c r="F73" s="372">
        <f t="shared" ref="F73:H74" si="63">IFERROR($D73*F91/100, 0)</f>
        <v>6.4898220381999994E-2</v>
      </c>
      <c r="G73" s="373">
        <f t="shared" si="63"/>
        <v>6.1656242906999996E-2</v>
      </c>
      <c r="H73" s="374">
        <f t="shared" si="63"/>
        <v>0.82176191972399992</v>
      </c>
      <c r="I73" s="320">
        <f t="shared" si="48"/>
        <v>1.78784708093</v>
      </c>
      <c r="J73" s="372">
        <f t="shared" ref="J73:Q74" si="64">IFERROR($D73*J91/100, 0)</f>
        <v>1.3623850360759999</v>
      </c>
      <c r="K73" s="373">
        <f t="shared" si="64"/>
        <v>0.388699528184</v>
      </c>
      <c r="L73" s="374">
        <f t="shared" si="64"/>
        <v>3.6762516669999995E-2</v>
      </c>
      <c r="M73" s="1094">
        <f t="shared" si="64"/>
        <v>2.31119409E-4</v>
      </c>
      <c r="N73" s="1095">
        <f t="shared" si="50"/>
        <v>5.0385676139999992E-3</v>
      </c>
      <c r="O73" s="373">
        <f t="shared" si="64"/>
        <v>5.0385676139999992E-3</v>
      </c>
      <c r="P73" s="374">
        <f t="shared" si="64"/>
        <v>0</v>
      </c>
      <c r="Q73" s="619">
        <f t="shared" si="64"/>
        <v>1.96849034E-4</v>
      </c>
    </row>
    <row r="74" spans="2:17" ht="26.25">
      <c r="B74" s="574" t="s">
        <v>612</v>
      </c>
      <c r="C74" s="579" t="s">
        <v>43</v>
      </c>
      <c r="D74" s="1099">
        <v>9.9192099999999996</v>
      </c>
      <c r="E74" s="619">
        <f t="shared" si="47"/>
        <v>3.4310061348710001</v>
      </c>
      <c r="F74" s="372">
        <f t="shared" si="63"/>
        <v>0.23480158759399999</v>
      </c>
      <c r="G74" s="373">
        <f t="shared" si="63"/>
        <v>0.22307212176899999</v>
      </c>
      <c r="H74" s="374">
        <f t="shared" si="63"/>
        <v>2.9731324255080001</v>
      </c>
      <c r="I74" s="320">
        <f t="shared" si="48"/>
        <v>6.4684259523100005</v>
      </c>
      <c r="J74" s="372">
        <f t="shared" si="64"/>
        <v>4.9291054130920005</v>
      </c>
      <c r="K74" s="373">
        <f t="shared" si="64"/>
        <v>1.4063138523280001</v>
      </c>
      <c r="L74" s="374">
        <f t="shared" si="64"/>
        <v>0.13300668689</v>
      </c>
      <c r="M74" s="1094">
        <f t="shared" si="64"/>
        <v>8.36189403E-4</v>
      </c>
      <c r="N74" s="1095">
        <f t="shared" si="50"/>
        <v>1.8229524138000001E-2</v>
      </c>
      <c r="O74" s="373">
        <f t="shared" si="64"/>
        <v>1.8229524138000001E-2</v>
      </c>
      <c r="P74" s="374">
        <f t="shared" si="64"/>
        <v>0</v>
      </c>
      <c r="Q74" s="619">
        <f t="shared" si="64"/>
        <v>7.1219927800000003E-4</v>
      </c>
    </row>
    <row r="75" spans="2:17">
      <c r="B75" s="580" t="s">
        <v>416</v>
      </c>
      <c r="C75" s="581" t="s">
        <v>598</v>
      </c>
      <c r="D75" s="1096">
        <f>SUM(D76:D78)</f>
        <v>0.87544</v>
      </c>
      <c r="E75" s="573">
        <f t="shared" si="47"/>
        <v>0</v>
      </c>
      <c r="F75" s="570">
        <f>F76+F77</f>
        <v>0</v>
      </c>
      <c r="G75" s="571">
        <f>G76+G77</f>
        <v>0</v>
      </c>
      <c r="H75" s="600">
        <f>H76+H77</f>
        <v>0</v>
      </c>
      <c r="I75" s="569">
        <f t="shared" si="48"/>
        <v>0</v>
      </c>
      <c r="J75" s="570">
        <f t="shared" ref="J75:Q75" si="65">J76+J77</f>
        <v>0</v>
      </c>
      <c r="K75" s="571">
        <f t="shared" si="65"/>
        <v>0</v>
      </c>
      <c r="L75" s="600">
        <f t="shared" si="65"/>
        <v>0</v>
      </c>
      <c r="M75" s="1097">
        <f t="shared" si="65"/>
        <v>0</v>
      </c>
      <c r="N75" s="1052">
        <f t="shared" si="50"/>
        <v>1.608883632E-3</v>
      </c>
      <c r="O75" s="561">
        <f t="shared" ref="O75:P75" si="66">SUM(O76:O78)</f>
        <v>1.608883632E-3</v>
      </c>
      <c r="P75" s="345">
        <f t="shared" si="66"/>
        <v>0</v>
      </c>
      <c r="Q75" s="573">
        <f t="shared" si="65"/>
        <v>0</v>
      </c>
    </row>
    <row r="76" spans="2:17">
      <c r="B76" s="582" t="s">
        <v>417</v>
      </c>
      <c r="C76" s="1070" t="s">
        <v>599</v>
      </c>
      <c r="D76" s="1099">
        <v>0</v>
      </c>
      <c r="E76" s="619">
        <f t="shared" si="47"/>
        <v>0</v>
      </c>
      <c r="F76" s="372">
        <f t="shared" ref="F76:H78" si="67">IFERROR($D76*F93/100, 0)</f>
        <v>0</v>
      </c>
      <c r="G76" s="373">
        <f t="shared" si="67"/>
        <v>0</v>
      </c>
      <c r="H76" s="374">
        <f t="shared" si="67"/>
        <v>0</v>
      </c>
      <c r="I76" s="320">
        <f t="shared" si="48"/>
        <v>0</v>
      </c>
      <c r="J76" s="372">
        <f t="shared" ref="J76:Q78" si="68">IFERROR($D76*J93/100, 0)</f>
        <v>0</v>
      </c>
      <c r="K76" s="373">
        <f t="shared" si="68"/>
        <v>0</v>
      </c>
      <c r="L76" s="374">
        <f t="shared" si="68"/>
        <v>0</v>
      </c>
      <c r="M76" s="1094">
        <f t="shared" si="68"/>
        <v>0</v>
      </c>
      <c r="N76" s="1095">
        <f t="shared" si="50"/>
        <v>0</v>
      </c>
      <c r="O76" s="373">
        <f t="shared" si="68"/>
        <v>0</v>
      </c>
      <c r="P76" s="374">
        <f t="shared" si="68"/>
        <v>0</v>
      </c>
      <c r="Q76" s="619">
        <f t="shared" si="68"/>
        <v>0</v>
      </c>
    </row>
    <row r="77" spans="2:17">
      <c r="B77" s="574" t="s">
        <v>418</v>
      </c>
      <c r="C77" s="1070" t="s">
        <v>599</v>
      </c>
      <c r="D77" s="1099">
        <v>0</v>
      </c>
      <c r="E77" s="619">
        <f t="shared" si="47"/>
        <v>0</v>
      </c>
      <c r="F77" s="372">
        <f t="shared" si="67"/>
        <v>0</v>
      </c>
      <c r="G77" s="373">
        <f t="shared" si="67"/>
        <v>0</v>
      </c>
      <c r="H77" s="374">
        <f t="shared" si="67"/>
        <v>0</v>
      </c>
      <c r="I77" s="320">
        <f t="shared" si="48"/>
        <v>0</v>
      </c>
      <c r="J77" s="372">
        <f t="shared" si="68"/>
        <v>0</v>
      </c>
      <c r="K77" s="373">
        <f t="shared" si="68"/>
        <v>0</v>
      </c>
      <c r="L77" s="374">
        <f t="shared" si="68"/>
        <v>0</v>
      </c>
      <c r="M77" s="1094">
        <f t="shared" si="68"/>
        <v>0</v>
      </c>
      <c r="N77" s="1095">
        <f t="shared" si="50"/>
        <v>0</v>
      </c>
      <c r="O77" s="373">
        <f t="shared" si="68"/>
        <v>0</v>
      </c>
      <c r="P77" s="374">
        <f t="shared" si="68"/>
        <v>0</v>
      </c>
      <c r="Q77" s="619">
        <f t="shared" si="68"/>
        <v>0</v>
      </c>
    </row>
    <row r="78" spans="2:17">
      <c r="B78" s="620" t="s">
        <v>419</v>
      </c>
      <c r="C78" s="1070">
        <v>0</v>
      </c>
      <c r="D78" s="1098">
        <v>0.87544</v>
      </c>
      <c r="E78" s="626">
        <f t="shared" si="47"/>
        <v>0.30281040634399997</v>
      </c>
      <c r="F78" s="622">
        <f t="shared" si="67"/>
        <v>2.0722890415999999E-2</v>
      </c>
      <c r="G78" s="623">
        <f t="shared" si="67"/>
        <v>1.9687682615999999E-2</v>
      </c>
      <c r="H78" s="627">
        <f t="shared" si="67"/>
        <v>0.26239983331199995</v>
      </c>
      <c r="I78" s="625">
        <f t="shared" si="48"/>
        <v>0.57088405384000007</v>
      </c>
      <c r="J78" s="622">
        <f t="shared" si="68"/>
        <v>0.43502819708800006</v>
      </c>
      <c r="K78" s="623">
        <f t="shared" si="68"/>
        <v>0.124117081792</v>
      </c>
      <c r="L78" s="627">
        <f t="shared" si="68"/>
        <v>1.173877496E-2</v>
      </c>
      <c r="M78" s="1100">
        <f t="shared" si="68"/>
        <v>7.3799592000000009E-5</v>
      </c>
      <c r="N78" s="1101">
        <f t="shared" si="50"/>
        <v>1.608883632E-3</v>
      </c>
      <c r="O78" s="623">
        <f t="shared" si="68"/>
        <v>1.608883632E-3</v>
      </c>
      <c r="P78" s="627">
        <f t="shared" si="68"/>
        <v>0</v>
      </c>
      <c r="Q78" s="626">
        <f t="shared" si="68"/>
        <v>6.2856592000000002E-5</v>
      </c>
    </row>
    <row r="79" spans="2:17" ht="75" customHeight="1" thickBot="1">
      <c r="B79" s="546" t="s">
        <v>63</v>
      </c>
      <c r="C79" s="32" t="s">
        <v>613</v>
      </c>
      <c r="D79" s="1102" t="s">
        <v>249</v>
      </c>
      <c r="E79" s="1103" t="s">
        <v>250</v>
      </c>
      <c r="F79" s="1104" t="s">
        <v>251</v>
      </c>
      <c r="G79" s="1105" t="s">
        <v>252</v>
      </c>
      <c r="H79" s="1106" t="s">
        <v>253</v>
      </c>
      <c r="I79" s="32" t="s">
        <v>254</v>
      </c>
      <c r="J79" s="1104" t="s">
        <v>255</v>
      </c>
      <c r="K79" s="1105" t="s">
        <v>256</v>
      </c>
      <c r="L79" s="1107" t="s">
        <v>257</v>
      </c>
      <c r="M79" s="1108" t="s">
        <v>258</v>
      </c>
      <c r="N79" s="998" t="s">
        <v>259</v>
      </c>
      <c r="O79" s="1109" t="s">
        <v>260</v>
      </c>
      <c r="P79" s="1109" t="s">
        <v>261</v>
      </c>
      <c r="Q79" s="1110" t="s">
        <v>262</v>
      </c>
    </row>
    <row r="80" spans="2:17">
      <c r="B80" s="387" t="s">
        <v>65</v>
      </c>
      <c r="C80" s="629" t="s">
        <v>614</v>
      </c>
      <c r="D80" s="1013">
        <f t="shared" ref="D80:D95" si="69">E80+I80+M80+N80+Q80</f>
        <v>100.00000000000001</v>
      </c>
      <c r="E80" s="631">
        <f t="shared" ref="E80:E95" si="70">SUM(F80:H80)</f>
        <v>34.589509999999997</v>
      </c>
      <c r="F80" s="632">
        <v>2.36714</v>
      </c>
      <c r="G80" s="633">
        <v>2.2488899999999998</v>
      </c>
      <c r="H80" s="637">
        <v>29.973479999999999</v>
      </c>
      <c r="I80" s="631">
        <f t="shared" ref="I80:I95" si="71">SUM(J80:L80)</f>
        <v>65.211100000000002</v>
      </c>
      <c r="J80" s="632">
        <v>49.692520000000002</v>
      </c>
      <c r="K80" s="633">
        <v>14.177680000000001</v>
      </c>
      <c r="L80" s="637">
        <v>1.3409</v>
      </c>
      <c r="M80" s="1111">
        <v>8.43E-3</v>
      </c>
      <c r="N80" s="1112">
        <f>SUM(O80:P80)</f>
        <v>0.18378</v>
      </c>
      <c r="O80" s="633">
        <v>0.18378</v>
      </c>
      <c r="P80" s="637">
        <v>0</v>
      </c>
      <c r="Q80" s="635">
        <v>7.1799999999999998E-3</v>
      </c>
    </row>
    <row r="81" spans="2:18">
      <c r="B81" s="417" t="s">
        <v>69</v>
      </c>
      <c r="C81" s="638" t="s">
        <v>615</v>
      </c>
      <c r="D81" s="1013">
        <f t="shared" si="69"/>
        <v>100.00000000000001</v>
      </c>
      <c r="E81" s="640">
        <f t="shared" si="70"/>
        <v>34.589509999999997</v>
      </c>
      <c r="F81" s="641">
        <v>2.36714</v>
      </c>
      <c r="G81" s="642">
        <v>2.2488899999999998</v>
      </c>
      <c r="H81" s="645">
        <v>29.973479999999999</v>
      </c>
      <c r="I81" s="640">
        <f t="shared" si="71"/>
        <v>65.211100000000002</v>
      </c>
      <c r="J81" s="641">
        <v>49.692520000000002</v>
      </c>
      <c r="K81" s="642">
        <v>14.177680000000001</v>
      </c>
      <c r="L81" s="645">
        <v>1.3409</v>
      </c>
      <c r="M81" s="1113">
        <v>8.43E-3</v>
      </c>
      <c r="N81" s="1114">
        <f t="shared" ref="N81:N95" si="72">SUM(O81:P81)</f>
        <v>0.18378</v>
      </c>
      <c r="O81" s="642">
        <v>0.18378</v>
      </c>
      <c r="P81" s="645">
        <v>0</v>
      </c>
      <c r="Q81" s="644">
        <v>7.1799999999999998E-3</v>
      </c>
    </row>
    <row r="82" spans="2:18">
      <c r="B82" s="417" t="s">
        <v>71</v>
      </c>
      <c r="C82" s="638" t="s">
        <v>616</v>
      </c>
      <c r="D82" s="1013">
        <f t="shared" si="69"/>
        <v>100.00000000000001</v>
      </c>
      <c r="E82" s="640">
        <f t="shared" si="70"/>
        <v>34.589509999999997</v>
      </c>
      <c r="F82" s="641">
        <v>2.36714</v>
      </c>
      <c r="G82" s="642">
        <v>2.2488899999999998</v>
      </c>
      <c r="H82" s="645">
        <v>29.973479999999999</v>
      </c>
      <c r="I82" s="640">
        <f t="shared" si="71"/>
        <v>65.211100000000002</v>
      </c>
      <c r="J82" s="641">
        <v>49.692520000000002</v>
      </c>
      <c r="K82" s="642">
        <v>14.177680000000001</v>
      </c>
      <c r="L82" s="645">
        <v>1.3409</v>
      </c>
      <c r="M82" s="1113">
        <v>8.43E-3</v>
      </c>
      <c r="N82" s="1114">
        <f t="shared" si="72"/>
        <v>0.18378</v>
      </c>
      <c r="O82" s="642">
        <v>0.18378</v>
      </c>
      <c r="P82" s="645">
        <v>0</v>
      </c>
      <c r="Q82" s="644">
        <v>7.1799999999999998E-3</v>
      </c>
    </row>
    <row r="83" spans="2:18">
      <c r="B83" s="421" t="s">
        <v>73</v>
      </c>
      <c r="C83" s="638" t="s">
        <v>617</v>
      </c>
      <c r="D83" s="1013">
        <f t="shared" si="69"/>
        <v>100.00000000000001</v>
      </c>
      <c r="E83" s="640">
        <f t="shared" si="70"/>
        <v>34.589509999999997</v>
      </c>
      <c r="F83" s="641">
        <v>2.36714</v>
      </c>
      <c r="G83" s="642">
        <v>2.2488899999999998</v>
      </c>
      <c r="H83" s="645">
        <v>29.973479999999999</v>
      </c>
      <c r="I83" s="640">
        <f t="shared" si="71"/>
        <v>65.211100000000002</v>
      </c>
      <c r="J83" s="641">
        <v>49.692520000000002</v>
      </c>
      <c r="K83" s="642">
        <v>14.177680000000001</v>
      </c>
      <c r="L83" s="645">
        <v>1.3409</v>
      </c>
      <c r="M83" s="1113">
        <v>8.43E-3</v>
      </c>
      <c r="N83" s="1114">
        <f t="shared" si="72"/>
        <v>0.18378</v>
      </c>
      <c r="O83" s="642">
        <v>0.18378</v>
      </c>
      <c r="P83" s="645">
        <v>0</v>
      </c>
      <c r="Q83" s="644">
        <v>7.1799999999999998E-3</v>
      </c>
    </row>
    <row r="84" spans="2:18">
      <c r="B84" s="417" t="s">
        <v>75</v>
      </c>
      <c r="C84" s="638" t="s">
        <v>618</v>
      </c>
      <c r="D84" s="1013">
        <f t="shared" si="69"/>
        <v>100.00000000000001</v>
      </c>
      <c r="E84" s="640">
        <f t="shared" si="70"/>
        <v>34.589509999999997</v>
      </c>
      <c r="F84" s="641">
        <v>2.36714</v>
      </c>
      <c r="G84" s="642">
        <v>2.2488899999999998</v>
      </c>
      <c r="H84" s="645">
        <v>29.973479999999999</v>
      </c>
      <c r="I84" s="640">
        <f t="shared" si="71"/>
        <v>65.211100000000002</v>
      </c>
      <c r="J84" s="641">
        <v>49.692520000000002</v>
      </c>
      <c r="K84" s="642">
        <v>14.177680000000001</v>
      </c>
      <c r="L84" s="645">
        <v>1.3409</v>
      </c>
      <c r="M84" s="1113">
        <v>8.43E-3</v>
      </c>
      <c r="N84" s="1114">
        <f t="shared" si="72"/>
        <v>0.18378</v>
      </c>
      <c r="O84" s="642">
        <v>0.18378</v>
      </c>
      <c r="P84" s="645">
        <v>0</v>
      </c>
      <c r="Q84" s="644">
        <v>7.1799999999999998E-3</v>
      </c>
    </row>
    <row r="85" spans="2:18">
      <c r="B85" s="417" t="s">
        <v>460</v>
      </c>
      <c r="C85" s="638" t="s">
        <v>619</v>
      </c>
      <c r="D85" s="1013">
        <f t="shared" si="69"/>
        <v>100.00000000000001</v>
      </c>
      <c r="E85" s="640">
        <f t="shared" si="70"/>
        <v>34.589509999999997</v>
      </c>
      <c r="F85" s="641">
        <v>2.36714</v>
      </c>
      <c r="G85" s="642">
        <v>2.2488899999999998</v>
      </c>
      <c r="H85" s="645">
        <v>29.973479999999999</v>
      </c>
      <c r="I85" s="640">
        <f t="shared" si="71"/>
        <v>65.211100000000002</v>
      </c>
      <c r="J85" s="641">
        <v>49.692520000000002</v>
      </c>
      <c r="K85" s="642">
        <v>14.177680000000001</v>
      </c>
      <c r="L85" s="645">
        <v>1.3409</v>
      </c>
      <c r="M85" s="1113">
        <v>8.43E-3</v>
      </c>
      <c r="N85" s="1114">
        <f t="shared" si="72"/>
        <v>0.18378</v>
      </c>
      <c r="O85" s="642">
        <v>0.18378</v>
      </c>
      <c r="P85" s="645">
        <v>0</v>
      </c>
      <c r="Q85" s="644">
        <v>7.1799999999999998E-3</v>
      </c>
    </row>
    <row r="86" spans="2:18">
      <c r="B86" s="417" t="s">
        <v>464</v>
      </c>
      <c r="C86" s="638" t="s">
        <v>620</v>
      </c>
      <c r="D86" s="1013">
        <f t="shared" si="69"/>
        <v>100.00000000000001</v>
      </c>
      <c r="E86" s="640">
        <f t="shared" si="70"/>
        <v>34.589509999999997</v>
      </c>
      <c r="F86" s="641">
        <v>2.36714</v>
      </c>
      <c r="G86" s="642">
        <v>2.2488899999999998</v>
      </c>
      <c r="H86" s="645">
        <v>29.973479999999999</v>
      </c>
      <c r="I86" s="640">
        <f t="shared" si="71"/>
        <v>65.211100000000002</v>
      </c>
      <c r="J86" s="641">
        <v>49.692520000000002</v>
      </c>
      <c r="K86" s="642">
        <v>14.177680000000001</v>
      </c>
      <c r="L86" s="645">
        <v>1.3409</v>
      </c>
      <c r="M86" s="1113">
        <v>8.43E-3</v>
      </c>
      <c r="N86" s="1114">
        <f t="shared" si="72"/>
        <v>0.18378</v>
      </c>
      <c r="O86" s="642">
        <v>0.18378</v>
      </c>
      <c r="P86" s="645">
        <v>0</v>
      </c>
      <c r="Q86" s="644">
        <v>7.1799999999999998E-3</v>
      </c>
    </row>
    <row r="87" spans="2:18">
      <c r="B87" s="421" t="s">
        <v>468</v>
      </c>
      <c r="C87" s="638" t="s">
        <v>621</v>
      </c>
      <c r="D87" s="1013">
        <f t="shared" si="69"/>
        <v>100.00000000000001</v>
      </c>
      <c r="E87" s="640">
        <f t="shared" si="70"/>
        <v>34.589509999999997</v>
      </c>
      <c r="F87" s="641">
        <v>2.36714</v>
      </c>
      <c r="G87" s="642">
        <v>2.2488899999999998</v>
      </c>
      <c r="H87" s="645">
        <v>29.973479999999999</v>
      </c>
      <c r="I87" s="640">
        <f t="shared" si="71"/>
        <v>65.211100000000002</v>
      </c>
      <c r="J87" s="641">
        <v>49.692520000000002</v>
      </c>
      <c r="K87" s="642">
        <v>14.177680000000001</v>
      </c>
      <c r="L87" s="645">
        <v>1.3409</v>
      </c>
      <c r="M87" s="1113">
        <v>8.43E-3</v>
      </c>
      <c r="N87" s="1114">
        <f t="shared" si="72"/>
        <v>0.18378</v>
      </c>
      <c r="O87" s="642">
        <v>0.18378</v>
      </c>
      <c r="P87" s="645">
        <v>0</v>
      </c>
      <c r="Q87" s="644">
        <v>7.1799999999999998E-3</v>
      </c>
    </row>
    <row r="88" spans="2:18">
      <c r="B88" s="421" t="s">
        <v>472</v>
      </c>
      <c r="C88" s="638" t="s">
        <v>622</v>
      </c>
      <c r="D88" s="1013">
        <f t="shared" si="69"/>
        <v>100.00000000000001</v>
      </c>
      <c r="E88" s="640">
        <f t="shared" si="70"/>
        <v>34.589509999999997</v>
      </c>
      <c r="F88" s="641">
        <v>2.36714</v>
      </c>
      <c r="G88" s="642">
        <v>2.2488899999999998</v>
      </c>
      <c r="H88" s="645">
        <v>29.973479999999999</v>
      </c>
      <c r="I88" s="640">
        <f t="shared" si="71"/>
        <v>65.211100000000002</v>
      </c>
      <c r="J88" s="641">
        <v>49.692520000000002</v>
      </c>
      <c r="K88" s="642">
        <v>14.177680000000001</v>
      </c>
      <c r="L88" s="645">
        <v>1.3409</v>
      </c>
      <c r="M88" s="1113">
        <v>8.43E-3</v>
      </c>
      <c r="N88" s="1114">
        <f t="shared" si="72"/>
        <v>0.18378</v>
      </c>
      <c r="O88" s="642">
        <v>0.18378</v>
      </c>
      <c r="P88" s="645">
        <v>0</v>
      </c>
      <c r="Q88" s="644">
        <v>7.1799999999999998E-3</v>
      </c>
    </row>
    <row r="89" spans="2:18">
      <c r="B89" s="421" t="s">
        <v>488</v>
      </c>
      <c r="C89" s="638" t="s">
        <v>623</v>
      </c>
      <c r="D89" s="1013">
        <f t="shared" si="69"/>
        <v>100.00000000000001</v>
      </c>
      <c r="E89" s="640">
        <f t="shared" si="70"/>
        <v>34.589509999999997</v>
      </c>
      <c r="F89" s="641">
        <v>2.36714</v>
      </c>
      <c r="G89" s="642">
        <v>2.2488899999999998</v>
      </c>
      <c r="H89" s="645">
        <v>29.973479999999999</v>
      </c>
      <c r="I89" s="640">
        <f t="shared" si="71"/>
        <v>65.211100000000002</v>
      </c>
      <c r="J89" s="641">
        <v>49.692520000000002</v>
      </c>
      <c r="K89" s="642">
        <v>14.177680000000001</v>
      </c>
      <c r="L89" s="645">
        <v>1.3409</v>
      </c>
      <c r="M89" s="1113">
        <v>8.43E-3</v>
      </c>
      <c r="N89" s="1114">
        <f t="shared" si="72"/>
        <v>0.18378</v>
      </c>
      <c r="O89" s="642">
        <v>0.18378</v>
      </c>
      <c r="P89" s="645">
        <v>0</v>
      </c>
      <c r="Q89" s="644">
        <v>7.1799999999999998E-3</v>
      </c>
    </row>
    <row r="90" spans="2:18">
      <c r="B90" s="421" t="s">
        <v>489</v>
      </c>
      <c r="C90" s="638" t="s">
        <v>624</v>
      </c>
      <c r="D90" s="1013">
        <f t="shared" si="69"/>
        <v>100.00000000000001</v>
      </c>
      <c r="E90" s="640">
        <f t="shared" si="70"/>
        <v>34.589509999999997</v>
      </c>
      <c r="F90" s="641">
        <v>2.36714</v>
      </c>
      <c r="G90" s="642">
        <v>2.2488899999999998</v>
      </c>
      <c r="H90" s="645">
        <v>29.973479999999999</v>
      </c>
      <c r="I90" s="640">
        <f t="shared" si="71"/>
        <v>65.211100000000002</v>
      </c>
      <c r="J90" s="641">
        <v>49.692520000000002</v>
      </c>
      <c r="K90" s="642">
        <v>14.177680000000001</v>
      </c>
      <c r="L90" s="645">
        <v>1.3409</v>
      </c>
      <c r="M90" s="1113">
        <v>8.43E-3</v>
      </c>
      <c r="N90" s="1114">
        <f t="shared" si="72"/>
        <v>0.18378</v>
      </c>
      <c r="O90" s="642">
        <v>0.18378</v>
      </c>
      <c r="P90" s="645">
        <v>0</v>
      </c>
      <c r="Q90" s="644">
        <v>7.1799999999999998E-3</v>
      </c>
    </row>
    <row r="91" spans="2:18">
      <c r="B91" s="421" t="s">
        <v>625</v>
      </c>
      <c r="C91" s="638" t="s">
        <v>626</v>
      </c>
      <c r="D91" s="1013">
        <f t="shared" si="69"/>
        <v>100.00000000000001</v>
      </c>
      <c r="E91" s="640">
        <f t="shared" si="70"/>
        <v>34.589509999999997</v>
      </c>
      <c r="F91" s="641">
        <v>2.36714</v>
      </c>
      <c r="G91" s="642">
        <v>2.2488899999999998</v>
      </c>
      <c r="H91" s="645">
        <v>29.973479999999999</v>
      </c>
      <c r="I91" s="640">
        <f t="shared" si="71"/>
        <v>65.211100000000002</v>
      </c>
      <c r="J91" s="641">
        <v>49.692520000000002</v>
      </c>
      <c r="K91" s="642">
        <v>14.177680000000001</v>
      </c>
      <c r="L91" s="645">
        <v>1.3409</v>
      </c>
      <c r="M91" s="1113">
        <v>8.43E-3</v>
      </c>
      <c r="N91" s="1114">
        <f t="shared" si="72"/>
        <v>0.18378</v>
      </c>
      <c r="O91" s="642">
        <v>0.18378</v>
      </c>
      <c r="P91" s="645">
        <v>0</v>
      </c>
      <c r="Q91" s="644">
        <v>7.1799999999999998E-3</v>
      </c>
    </row>
    <row r="92" spans="2:18">
      <c r="B92" s="421" t="s">
        <v>627</v>
      </c>
      <c r="C92" s="638" t="s">
        <v>628</v>
      </c>
      <c r="D92" s="1013">
        <f t="shared" si="69"/>
        <v>100.00000000000001</v>
      </c>
      <c r="E92" s="640">
        <f t="shared" si="70"/>
        <v>34.589509999999997</v>
      </c>
      <c r="F92" s="641">
        <v>2.36714</v>
      </c>
      <c r="G92" s="642">
        <v>2.2488899999999998</v>
      </c>
      <c r="H92" s="645">
        <v>29.973479999999999</v>
      </c>
      <c r="I92" s="640">
        <f t="shared" si="71"/>
        <v>65.211100000000002</v>
      </c>
      <c r="J92" s="641">
        <v>49.692520000000002</v>
      </c>
      <c r="K92" s="642">
        <v>14.177680000000001</v>
      </c>
      <c r="L92" s="645">
        <v>1.3409</v>
      </c>
      <c r="M92" s="1113">
        <v>8.43E-3</v>
      </c>
      <c r="N92" s="1114">
        <f t="shared" si="72"/>
        <v>0.18378</v>
      </c>
      <c r="O92" s="642">
        <v>0.18378</v>
      </c>
      <c r="P92" s="645">
        <v>0</v>
      </c>
      <c r="Q92" s="644">
        <v>7.1799999999999998E-3</v>
      </c>
    </row>
    <row r="93" spans="2:18">
      <c r="B93" s="417" t="s">
        <v>629</v>
      </c>
      <c r="C93" s="638" t="s">
        <v>630</v>
      </c>
      <c r="D93" s="1013">
        <f t="shared" si="69"/>
        <v>100.00000000000001</v>
      </c>
      <c r="E93" s="640">
        <f t="shared" si="70"/>
        <v>34.589509999999997</v>
      </c>
      <c r="F93" s="641">
        <v>2.36714</v>
      </c>
      <c r="G93" s="642">
        <v>2.2488899999999998</v>
      </c>
      <c r="H93" s="645">
        <v>29.973479999999999</v>
      </c>
      <c r="I93" s="640">
        <f t="shared" si="71"/>
        <v>65.211100000000002</v>
      </c>
      <c r="J93" s="641">
        <v>49.692520000000002</v>
      </c>
      <c r="K93" s="642">
        <v>14.177680000000001</v>
      </c>
      <c r="L93" s="645">
        <v>1.3409</v>
      </c>
      <c r="M93" s="1113">
        <v>8.43E-3</v>
      </c>
      <c r="N93" s="1114">
        <f t="shared" si="72"/>
        <v>0.18378</v>
      </c>
      <c r="O93" s="642">
        <v>0.18378</v>
      </c>
      <c r="P93" s="645">
        <v>0</v>
      </c>
      <c r="Q93" s="644">
        <v>7.1799999999999998E-3</v>
      </c>
    </row>
    <row r="94" spans="2:18">
      <c r="B94" s="421" t="s">
        <v>631</v>
      </c>
      <c r="C94" s="646" t="s">
        <v>632</v>
      </c>
      <c r="D94" s="1013">
        <f t="shared" si="69"/>
        <v>100.00000000000001</v>
      </c>
      <c r="E94" s="648">
        <f t="shared" si="70"/>
        <v>34.589509999999997</v>
      </c>
      <c r="F94" s="649">
        <v>2.36714</v>
      </c>
      <c r="G94" s="650">
        <v>2.2488899999999998</v>
      </c>
      <c r="H94" s="653">
        <v>29.973479999999999</v>
      </c>
      <c r="I94" s="648">
        <f t="shared" si="71"/>
        <v>65.211100000000002</v>
      </c>
      <c r="J94" s="649">
        <v>49.692520000000002</v>
      </c>
      <c r="K94" s="650">
        <v>14.177680000000001</v>
      </c>
      <c r="L94" s="653">
        <v>1.3409</v>
      </c>
      <c r="M94" s="1115">
        <v>8.43E-3</v>
      </c>
      <c r="N94" s="1116">
        <f t="shared" si="72"/>
        <v>0.18378</v>
      </c>
      <c r="O94" s="650">
        <v>0.18378</v>
      </c>
      <c r="P94" s="653">
        <v>0</v>
      </c>
      <c r="Q94" s="652">
        <v>7.1799999999999998E-3</v>
      </c>
    </row>
    <row r="95" spans="2:18">
      <c r="B95" s="654" t="s">
        <v>633</v>
      </c>
      <c r="C95" s="655" t="s">
        <v>634</v>
      </c>
      <c r="D95" s="1013">
        <f t="shared" si="69"/>
        <v>100.00000000000001</v>
      </c>
      <c r="E95" s="1117">
        <f t="shared" si="70"/>
        <v>34.589509999999997</v>
      </c>
      <c r="F95" s="658">
        <v>2.36714</v>
      </c>
      <c r="G95" s="659">
        <v>2.2488899999999998</v>
      </c>
      <c r="H95" s="662">
        <v>29.973479999999999</v>
      </c>
      <c r="I95" s="657">
        <f t="shared" si="71"/>
        <v>65.211100000000002</v>
      </c>
      <c r="J95" s="658">
        <v>49.692520000000002</v>
      </c>
      <c r="K95" s="659">
        <v>14.177680000000001</v>
      </c>
      <c r="L95" s="662">
        <v>1.3409</v>
      </c>
      <c r="M95" s="1118">
        <v>8.43E-3</v>
      </c>
      <c r="N95" s="1119">
        <f t="shared" si="72"/>
        <v>0.18378</v>
      </c>
      <c r="O95" s="659">
        <v>0.18378</v>
      </c>
      <c r="P95" s="662">
        <v>0</v>
      </c>
      <c r="Q95" s="1120">
        <v>7.1799999999999998E-3</v>
      </c>
    </row>
    <row r="96" spans="2:18">
      <c r="B96" s="549" t="s">
        <v>77</v>
      </c>
      <c r="C96" s="549" t="s">
        <v>635</v>
      </c>
      <c r="D96" s="1121">
        <f t="shared" ref="D96" si="73">D97+D101+D106+D108+D111+D114</f>
        <v>17.636399999999998</v>
      </c>
      <c r="E96" s="554">
        <f t="shared" ref="E96:Q96" si="74">E97+E101+E106+E108+E111+E114</f>
        <v>5.002473825912336</v>
      </c>
      <c r="F96" s="551">
        <f t="shared" si="74"/>
        <v>0.54245400039133085</v>
      </c>
      <c r="G96" s="552">
        <f t="shared" si="74"/>
        <v>0.34271631485859683</v>
      </c>
      <c r="H96" s="555">
        <f t="shared" si="74"/>
        <v>4.1173035106624081</v>
      </c>
      <c r="I96" s="550">
        <f t="shared" si="74"/>
        <v>12.606608407247618</v>
      </c>
      <c r="J96" s="551">
        <f t="shared" si="74"/>
        <v>7.400775585371572</v>
      </c>
      <c r="K96" s="552">
        <f t="shared" si="74"/>
        <v>4.979886724788015</v>
      </c>
      <c r="L96" s="555">
        <f t="shared" si="74"/>
        <v>0.22594609708803215</v>
      </c>
      <c r="M96" s="1090">
        <f t="shared" si="74"/>
        <v>1.1549665201943495E-3</v>
      </c>
      <c r="N96" s="1122">
        <f t="shared" si="74"/>
        <v>2.5179092180464716E-2</v>
      </c>
      <c r="O96" s="666">
        <f t="shared" si="74"/>
        <v>2.5179092180464716E-2</v>
      </c>
      <c r="P96" s="669">
        <f t="shared" si="74"/>
        <v>0</v>
      </c>
      <c r="Q96" s="554">
        <f t="shared" si="74"/>
        <v>9.8370813938261311E-4</v>
      </c>
      <c r="R96" s="617"/>
    </row>
    <row r="97" spans="2:18">
      <c r="B97" s="556" t="s">
        <v>491</v>
      </c>
      <c r="C97" s="557" t="s">
        <v>8</v>
      </c>
      <c r="D97" s="1123">
        <f>SUM(D98:D100)</f>
        <v>11.36664</v>
      </c>
      <c r="E97" s="149">
        <f t="shared" ref="E97:E117" si="75">SUM(F97:H97)</f>
        <v>3.9316650794639996</v>
      </c>
      <c r="F97" s="146">
        <f>SUM(F98:F100)</f>
        <v>0.26906428209600003</v>
      </c>
      <c r="G97" s="147">
        <f>SUM(G98:G100)</f>
        <v>0.25562323029599998</v>
      </c>
      <c r="H97" s="148">
        <f>SUM(H98:H100)</f>
        <v>3.4069775670719995</v>
      </c>
      <c r="I97" s="145">
        <f t="shared" ref="I97:I117" si="76">SUM(J97:L97)</f>
        <v>7.4123109770400006</v>
      </c>
      <c r="J97" s="146">
        <f t="shared" ref="J97:Q97" si="77">SUM(J98:J100)</f>
        <v>5.6483698553280002</v>
      </c>
      <c r="K97" s="147">
        <f t="shared" si="77"/>
        <v>1.6115258459520001</v>
      </c>
      <c r="L97" s="148">
        <f t="shared" si="77"/>
        <v>0.15241527576</v>
      </c>
      <c r="M97" s="1092">
        <f t="shared" si="77"/>
        <v>9.5820775200000001E-4</v>
      </c>
      <c r="N97" s="1124">
        <f t="shared" ref="N97:N117" si="78">SUM(O97:P97)</f>
        <v>2.0889610991999999E-2</v>
      </c>
      <c r="O97" s="672">
        <f t="shared" si="77"/>
        <v>2.0889610991999999E-2</v>
      </c>
      <c r="P97" s="675">
        <f t="shared" si="77"/>
        <v>0</v>
      </c>
      <c r="Q97" s="149">
        <f t="shared" si="77"/>
        <v>8.1612475199999992E-4</v>
      </c>
      <c r="R97" s="617"/>
    </row>
    <row r="98" spans="2:18">
      <c r="B98" s="558" t="s">
        <v>492</v>
      </c>
      <c r="C98" s="559" t="s">
        <v>10</v>
      </c>
      <c r="D98" s="1125">
        <v>11.36664</v>
      </c>
      <c r="E98" s="619">
        <f t="shared" si="75"/>
        <v>3.9316650794639996</v>
      </c>
      <c r="F98" s="372">
        <f t="shared" ref="F98:H100" si="79">IFERROR($D98*F119/100, 0)</f>
        <v>0.26906428209600003</v>
      </c>
      <c r="G98" s="373">
        <f t="shared" si="79"/>
        <v>0.25562323029599998</v>
      </c>
      <c r="H98" s="374">
        <f t="shared" si="79"/>
        <v>3.4069775670719995</v>
      </c>
      <c r="I98" s="320">
        <f t="shared" si="76"/>
        <v>7.4123109770400006</v>
      </c>
      <c r="J98" s="372">
        <f t="shared" ref="J98:Q100" si="80">IFERROR($D98*J119/100, 0)</f>
        <v>5.6483698553280002</v>
      </c>
      <c r="K98" s="373">
        <f t="shared" si="80"/>
        <v>1.6115258459520001</v>
      </c>
      <c r="L98" s="374">
        <f t="shared" si="80"/>
        <v>0.15241527576</v>
      </c>
      <c r="M98" s="1094">
        <f t="shared" si="80"/>
        <v>9.5820775200000001E-4</v>
      </c>
      <c r="N98" s="1126">
        <f t="shared" si="78"/>
        <v>2.0889610991999999E-2</v>
      </c>
      <c r="O98" s="679">
        <f t="shared" si="80"/>
        <v>2.0889610991999999E-2</v>
      </c>
      <c r="P98" s="682">
        <f t="shared" si="80"/>
        <v>0</v>
      </c>
      <c r="Q98" s="619">
        <f t="shared" si="80"/>
        <v>8.1612475199999992E-4</v>
      </c>
    </row>
    <row r="99" spans="2:18">
      <c r="B99" s="558" t="s">
        <v>636</v>
      </c>
      <c r="C99" s="559" t="s">
        <v>11</v>
      </c>
      <c r="D99" s="1125">
        <v>0</v>
      </c>
      <c r="E99" s="619">
        <f t="shared" si="75"/>
        <v>0</v>
      </c>
      <c r="F99" s="372">
        <f t="shared" si="79"/>
        <v>0</v>
      </c>
      <c r="G99" s="373">
        <f t="shared" si="79"/>
        <v>0</v>
      </c>
      <c r="H99" s="374">
        <f t="shared" si="79"/>
        <v>0</v>
      </c>
      <c r="I99" s="320">
        <f t="shared" si="76"/>
        <v>0</v>
      </c>
      <c r="J99" s="372">
        <f t="shared" si="80"/>
        <v>0</v>
      </c>
      <c r="K99" s="373">
        <f t="shared" si="80"/>
        <v>0</v>
      </c>
      <c r="L99" s="374">
        <f t="shared" si="80"/>
        <v>0</v>
      </c>
      <c r="M99" s="1094">
        <f t="shared" si="80"/>
        <v>0</v>
      </c>
      <c r="N99" s="1126">
        <f t="shared" si="78"/>
        <v>0</v>
      </c>
      <c r="O99" s="679">
        <f t="shared" si="80"/>
        <v>0</v>
      </c>
      <c r="P99" s="682">
        <f t="shared" si="80"/>
        <v>0</v>
      </c>
      <c r="Q99" s="619">
        <f t="shared" si="80"/>
        <v>0</v>
      </c>
    </row>
    <row r="100" spans="2:18">
      <c r="B100" s="558" t="s">
        <v>637</v>
      </c>
      <c r="C100" s="559" t="s">
        <v>13</v>
      </c>
      <c r="D100" s="1125">
        <v>0</v>
      </c>
      <c r="E100" s="619">
        <f t="shared" si="75"/>
        <v>0</v>
      </c>
      <c r="F100" s="372">
        <f t="shared" si="79"/>
        <v>0</v>
      </c>
      <c r="G100" s="373">
        <f t="shared" si="79"/>
        <v>0</v>
      </c>
      <c r="H100" s="374">
        <f t="shared" si="79"/>
        <v>0</v>
      </c>
      <c r="I100" s="320">
        <f t="shared" si="76"/>
        <v>0</v>
      </c>
      <c r="J100" s="372">
        <f t="shared" si="80"/>
        <v>0</v>
      </c>
      <c r="K100" s="373">
        <f t="shared" si="80"/>
        <v>0</v>
      </c>
      <c r="L100" s="374">
        <f t="shared" si="80"/>
        <v>0</v>
      </c>
      <c r="M100" s="1094">
        <f t="shared" si="80"/>
        <v>0</v>
      </c>
      <c r="N100" s="1126">
        <f t="shared" si="78"/>
        <v>0</v>
      </c>
      <c r="O100" s="679">
        <f t="shared" si="80"/>
        <v>0</v>
      </c>
      <c r="P100" s="682">
        <f t="shared" si="80"/>
        <v>0</v>
      </c>
      <c r="Q100" s="619">
        <f t="shared" si="80"/>
        <v>0</v>
      </c>
    </row>
    <row r="101" spans="2:18">
      <c r="B101" s="556" t="s">
        <v>167</v>
      </c>
      <c r="C101" s="560" t="s">
        <v>15</v>
      </c>
      <c r="D101" s="1123">
        <f>SUM(D102:D105)</f>
        <v>3.8897599999999999</v>
      </c>
      <c r="E101" s="149">
        <f t="shared" si="75"/>
        <v>0.29834977937646023</v>
      </c>
      <c r="F101" s="146">
        <f>SUM(F102:F105)</f>
        <v>0.22052633516806125</v>
      </c>
      <c r="G101" s="147">
        <f>SUM(G102:G105)</f>
        <v>3.687048104903818E-2</v>
      </c>
      <c r="H101" s="148">
        <f>SUM(H102:H105)</f>
        <v>4.0952963159360783E-2</v>
      </c>
      <c r="I101" s="145">
        <f t="shared" si="76"/>
        <v>3.5912092095177859</v>
      </c>
      <c r="J101" s="146">
        <f t="shared" ref="J101:Q101" si="81">SUM(J102:J105)</f>
        <v>0.6426637108476182</v>
      </c>
      <c r="K101" s="147">
        <f t="shared" si="81"/>
        <v>2.9049598898920292</v>
      </c>
      <c r="L101" s="148">
        <f t="shared" si="81"/>
        <v>4.3585608778138392E-2</v>
      </c>
      <c r="M101" s="1092">
        <f t="shared" si="81"/>
        <v>8.4985386503077248E-6</v>
      </c>
      <c r="N101" s="1124">
        <f t="shared" si="78"/>
        <v>1.8527419135866619E-4</v>
      </c>
      <c r="O101" s="672">
        <f t="shared" si="81"/>
        <v>1.8527419135866619E-4</v>
      </c>
      <c r="P101" s="675">
        <f t="shared" si="81"/>
        <v>0</v>
      </c>
      <c r="Q101" s="149">
        <f t="shared" si="81"/>
        <v>7.2383757424922357E-6</v>
      </c>
      <c r="R101" s="617"/>
    </row>
    <row r="102" spans="2:18">
      <c r="B102" s="558" t="s">
        <v>494</v>
      </c>
      <c r="C102" s="559" t="s">
        <v>17</v>
      </c>
      <c r="D102" s="1125">
        <v>3.8897599999999999</v>
      </c>
      <c r="E102" s="619">
        <f t="shared" si="75"/>
        <v>0.29834977937646023</v>
      </c>
      <c r="F102" s="372">
        <f t="shared" ref="F102:H105" si="82">IFERROR($D102*F122/100, 0)</f>
        <v>0.22052633516806125</v>
      </c>
      <c r="G102" s="373">
        <f t="shared" si="82"/>
        <v>3.687048104903818E-2</v>
      </c>
      <c r="H102" s="374">
        <f t="shared" si="82"/>
        <v>4.0952963159360783E-2</v>
      </c>
      <c r="I102" s="320">
        <f t="shared" si="76"/>
        <v>3.5912092095177859</v>
      </c>
      <c r="J102" s="372">
        <f t="shared" ref="J102:Q105" si="83">IFERROR($D102*J122/100, 0)</f>
        <v>0.6426637108476182</v>
      </c>
      <c r="K102" s="373">
        <f t="shared" si="83"/>
        <v>2.9049598898920292</v>
      </c>
      <c r="L102" s="374">
        <f t="shared" si="83"/>
        <v>4.3585608778138392E-2</v>
      </c>
      <c r="M102" s="1094">
        <f t="shared" si="83"/>
        <v>8.4985386503077248E-6</v>
      </c>
      <c r="N102" s="1126">
        <f t="shared" si="78"/>
        <v>1.8527419135866619E-4</v>
      </c>
      <c r="O102" s="679">
        <f t="shared" si="83"/>
        <v>1.8527419135866619E-4</v>
      </c>
      <c r="P102" s="682">
        <f t="shared" si="83"/>
        <v>0</v>
      </c>
      <c r="Q102" s="619">
        <f t="shared" si="83"/>
        <v>7.2383757424922357E-6</v>
      </c>
    </row>
    <row r="103" spans="2:18">
      <c r="B103" s="558" t="s">
        <v>496</v>
      </c>
      <c r="C103" s="559" t="s">
        <v>591</v>
      </c>
      <c r="D103" s="1125">
        <v>0</v>
      </c>
      <c r="E103" s="619">
        <f t="shared" si="75"/>
        <v>0</v>
      </c>
      <c r="F103" s="372">
        <f t="shared" si="82"/>
        <v>0</v>
      </c>
      <c r="G103" s="373">
        <f t="shared" si="82"/>
        <v>0</v>
      </c>
      <c r="H103" s="374">
        <f t="shared" si="82"/>
        <v>0</v>
      </c>
      <c r="I103" s="320">
        <f t="shared" si="76"/>
        <v>0</v>
      </c>
      <c r="J103" s="372">
        <f t="shared" si="83"/>
        <v>0</v>
      </c>
      <c r="K103" s="373">
        <f t="shared" si="83"/>
        <v>0</v>
      </c>
      <c r="L103" s="374">
        <f t="shared" si="83"/>
        <v>0</v>
      </c>
      <c r="M103" s="1094">
        <f t="shared" si="83"/>
        <v>0</v>
      </c>
      <c r="N103" s="1126">
        <f t="shared" si="78"/>
        <v>0</v>
      </c>
      <c r="O103" s="679">
        <f t="shared" si="83"/>
        <v>0</v>
      </c>
      <c r="P103" s="682">
        <f t="shared" si="83"/>
        <v>0</v>
      </c>
      <c r="Q103" s="619">
        <f t="shared" si="83"/>
        <v>0</v>
      </c>
    </row>
    <row r="104" spans="2:18">
      <c r="B104" s="558" t="s">
        <v>638</v>
      </c>
      <c r="C104" s="559" t="s">
        <v>23</v>
      </c>
      <c r="D104" s="1125">
        <v>0</v>
      </c>
      <c r="E104" s="619">
        <f t="shared" si="75"/>
        <v>0</v>
      </c>
      <c r="F104" s="372">
        <f t="shared" si="82"/>
        <v>0</v>
      </c>
      <c r="G104" s="373">
        <f t="shared" si="82"/>
        <v>0</v>
      </c>
      <c r="H104" s="374">
        <f t="shared" si="82"/>
        <v>0</v>
      </c>
      <c r="I104" s="320">
        <f t="shared" si="76"/>
        <v>0</v>
      </c>
      <c r="J104" s="372">
        <f t="shared" si="83"/>
        <v>0</v>
      </c>
      <c r="K104" s="373">
        <f t="shared" si="83"/>
        <v>0</v>
      </c>
      <c r="L104" s="374">
        <f t="shared" si="83"/>
        <v>0</v>
      </c>
      <c r="M104" s="1094">
        <f t="shared" si="83"/>
        <v>0</v>
      </c>
      <c r="N104" s="1126">
        <f t="shared" si="78"/>
        <v>0</v>
      </c>
      <c r="O104" s="679">
        <f t="shared" si="83"/>
        <v>0</v>
      </c>
      <c r="P104" s="682">
        <f t="shared" si="83"/>
        <v>0</v>
      </c>
      <c r="Q104" s="619">
        <f t="shared" si="83"/>
        <v>0</v>
      </c>
    </row>
    <row r="105" spans="2:18">
      <c r="B105" s="558" t="s">
        <v>639</v>
      </c>
      <c r="C105" s="559" t="s">
        <v>640</v>
      </c>
      <c r="D105" s="1125">
        <v>0</v>
      </c>
      <c r="E105" s="619">
        <f t="shared" si="75"/>
        <v>0</v>
      </c>
      <c r="F105" s="372">
        <f t="shared" si="82"/>
        <v>0</v>
      </c>
      <c r="G105" s="373">
        <f t="shared" si="82"/>
        <v>0</v>
      </c>
      <c r="H105" s="374">
        <f t="shared" si="82"/>
        <v>0</v>
      </c>
      <c r="I105" s="320">
        <f t="shared" si="76"/>
        <v>0</v>
      </c>
      <c r="J105" s="372">
        <f t="shared" si="83"/>
        <v>0</v>
      </c>
      <c r="K105" s="373">
        <f t="shared" si="83"/>
        <v>0</v>
      </c>
      <c r="L105" s="374">
        <f t="shared" si="83"/>
        <v>0</v>
      </c>
      <c r="M105" s="1094">
        <f t="shared" si="83"/>
        <v>0</v>
      </c>
      <c r="N105" s="1126">
        <f t="shared" si="78"/>
        <v>0</v>
      </c>
      <c r="O105" s="679">
        <f t="shared" si="83"/>
        <v>0</v>
      </c>
      <c r="P105" s="682">
        <f t="shared" si="83"/>
        <v>0</v>
      </c>
      <c r="Q105" s="619">
        <f t="shared" si="83"/>
        <v>0</v>
      </c>
    </row>
    <row r="106" spans="2:18">
      <c r="B106" s="556" t="s">
        <v>169</v>
      </c>
      <c r="C106" s="562" t="s">
        <v>27</v>
      </c>
      <c r="D106" s="1123">
        <f>D107</f>
        <v>0</v>
      </c>
      <c r="E106" s="149">
        <f t="shared" si="75"/>
        <v>0</v>
      </c>
      <c r="F106" s="146">
        <f>F107</f>
        <v>0</v>
      </c>
      <c r="G106" s="147">
        <f>G107</f>
        <v>0</v>
      </c>
      <c r="H106" s="148">
        <f>H107</f>
        <v>0</v>
      </c>
      <c r="I106" s="145">
        <f t="shared" si="76"/>
        <v>0</v>
      </c>
      <c r="J106" s="146">
        <f t="shared" ref="J106:Q106" si="84">J107</f>
        <v>0</v>
      </c>
      <c r="K106" s="147">
        <f t="shared" si="84"/>
        <v>0</v>
      </c>
      <c r="L106" s="148">
        <f t="shared" si="84"/>
        <v>0</v>
      </c>
      <c r="M106" s="1092">
        <f t="shared" si="84"/>
        <v>0</v>
      </c>
      <c r="N106" s="1124">
        <f t="shared" si="78"/>
        <v>0</v>
      </c>
      <c r="O106" s="672">
        <f t="shared" si="84"/>
        <v>0</v>
      </c>
      <c r="P106" s="675">
        <f t="shared" si="84"/>
        <v>0</v>
      </c>
      <c r="Q106" s="149">
        <f t="shared" si="84"/>
        <v>0</v>
      </c>
      <c r="R106" s="617"/>
    </row>
    <row r="107" spans="2:18">
      <c r="B107" s="558" t="s">
        <v>497</v>
      </c>
      <c r="C107" s="563" t="s">
        <v>641</v>
      </c>
      <c r="D107" s="1125">
        <v>0</v>
      </c>
      <c r="E107" s="619">
        <f t="shared" si="75"/>
        <v>0</v>
      </c>
      <c r="F107" s="372">
        <f>IFERROR($D107*F126/100, 0)</f>
        <v>0</v>
      </c>
      <c r="G107" s="373">
        <f>IFERROR($D107*G126/100, 0)</f>
        <v>0</v>
      </c>
      <c r="H107" s="374">
        <f>IFERROR($D107*H126/100, 0)</f>
        <v>0</v>
      </c>
      <c r="I107" s="320">
        <f t="shared" si="76"/>
        <v>0</v>
      </c>
      <c r="J107" s="372">
        <f t="shared" ref="J107:Q107" si="85">IFERROR($D107*J126/100, 0)</f>
        <v>0</v>
      </c>
      <c r="K107" s="373">
        <f t="shared" si="85"/>
        <v>0</v>
      </c>
      <c r="L107" s="374">
        <f t="shared" si="85"/>
        <v>0</v>
      </c>
      <c r="M107" s="1094">
        <f t="shared" si="85"/>
        <v>0</v>
      </c>
      <c r="N107" s="1126">
        <f t="shared" si="78"/>
        <v>0</v>
      </c>
      <c r="O107" s="679">
        <f t="shared" si="85"/>
        <v>0</v>
      </c>
      <c r="P107" s="682">
        <f t="shared" si="85"/>
        <v>0</v>
      </c>
      <c r="Q107" s="619">
        <f t="shared" si="85"/>
        <v>0</v>
      </c>
    </row>
    <row r="108" spans="2:18">
      <c r="B108" s="556" t="s">
        <v>171</v>
      </c>
      <c r="C108" s="562" t="s">
        <v>33</v>
      </c>
      <c r="D108" s="1123">
        <f>D109+D110</f>
        <v>0</v>
      </c>
      <c r="E108" s="149">
        <f t="shared" si="75"/>
        <v>0</v>
      </c>
      <c r="F108" s="146">
        <f>F109+F110</f>
        <v>0</v>
      </c>
      <c r="G108" s="147">
        <f>G109+G110</f>
        <v>0</v>
      </c>
      <c r="H108" s="148">
        <f>H109+H110</f>
        <v>0</v>
      </c>
      <c r="I108" s="145">
        <f t="shared" si="76"/>
        <v>0</v>
      </c>
      <c r="J108" s="146">
        <f t="shared" ref="J108:Q108" si="86">J109+J110</f>
        <v>0</v>
      </c>
      <c r="K108" s="147">
        <f t="shared" si="86"/>
        <v>0</v>
      </c>
      <c r="L108" s="148">
        <f t="shared" si="86"/>
        <v>0</v>
      </c>
      <c r="M108" s="1092">
        <f t="shared" si="86"/>
        <v>0</v>
      </c>
      <c r="N108" s="1124">
        <f t="shared" si="78"/>
        <v>0</v>
      </c>
      <c r="O108" s="672">
        <f t="shared" si="86"/>
        <v>0</v>
      </c>
      <c r="P108" s="675">
        <f t="shared" si="86"/>
        <v>0</v>
      </c>
      <c r="Q108" s="149">
        <f t="shared" si="86"/>
        <v>0</v>
      </c>
      <c r="R108" s="617"/>
    </row>
    <row r="109" spans="2:18">
      <c r="B109" s="558" t="s">
        <v>498</v>
      </c>
      <c r="C109" s="563" t="s">
        <v>595</v>
      </c>
      <c r="D109" s="1125">
        <v>0</v>
      </c>
      <c r="E109" s="619">
        <f t="shared" si="75"/>
        <v>0</v>
      </c>
      <c r="F109" s="372">
        <f t="shared" ref="F109:H110" si="87">IFERROR($D109*F127/100, 0)</f>
        <v>0</v>
      </c>
      <c r="G109" s="373">
        <f t="shared" si="87"/>
        <v>0</v>
      </c>
      <c r="H109" s="374">
        <f t="shared" si="87"/>
        <v>0</v>
      </c>
      <c r="I109" s="320">
        <f t="shared" si="76"/>
        <v>0</v>
      </c>
      <c r="J109" s="372">
        <f t="shared" ref="J109:Q110" si="88">IFERROR($D109*J127/100, 0)</f>
        <v>0</v>
      </c>
      <c r="K109" s="373">
        <f t="shared" si="88"/>
        <v>0</v>
      </c>
      <c r="L109" s="374">
        <f t="shared" si="88"/>
        <v>0</v>
      </c>
      <c r="M109" s="1094">
        <f t="shared" si="88"/>
        <v>0</v>
      </c>
      <c r="N109" s="1126">
        <f t="shared" si="78"/>
        <v>0</v>
      </c>
      <c r="O109" s="679">
        <f t="shared" si="88"/>
        <v>0</v>
      </c>
      <c r="P109" s="682">
        <f t="shared" si="88"/>
        <v>0</v>
      </c>
      <c r="Q109" s="619">
        <f t="shared" si="88"/>
        <v>0</v>
      </c>
    </row>
    <row r="110" spans="2:18" ht="26.25">
      <c r="B110" s="558" t="s">
        <v>499</v>
      </c>
      <c r="C110" s="599" t="s">
        <v>597</v>
      </c>
      <c r="D110" s="1125">
        <v>0</v>
      </c>
      <c r="E110" s="619">
        <f t="shared" si="75"/>
        <v>0</v>
      </c>
      <c r="F110" s="372">
        <f t="shared" si="87"/>
        <v>0</v>
      </c>
      <c r="G110" s="373">
        <f t="shared" si="87"/>
        <v>0</v>
      </c>
      <c r="H110" s="374">
        <f t="shared" si="87"/>
        <v>0</v>
      </c>
      <c r="I110" s="320">
        <f t="shared" si="76"/>
        <v>0</v>
      </c>
      <c r="J110" s="372">
        <f t="shared" si="88"/>
        <v>0</v>
      </c>
      <c r="K110" s="373">
        <f t="shared" si="88"/>
        <v>0</v>
      </c>
      <c r="L110" s="374">
        <f t="shared" si="88"/>
        <v>0</v>
      </c>
      <c r="M110" s="1094">
        <f t="shared" si="88"/>
        <v>0</v>
      </c>
      <c r="N110" s="1126">
        <f t="shared" si="78"/>
        <v>0</v>
      </c>
      <c r="O110" s="679">
        <f t="shared" si="88"/>
        <v>0</v>
      </c>
      <c r="P110" s="682">
        <f t="shared" si="88"/>
        <v>0</v>
      </c>
      <c r="Q110" s="619">
        <f t="shared" si="88"/>
        <v>0</v>
      </c>
    </row>
    <row r="111" spans="2:18">
      <c r="B111" s="556" t="s">
        <v>173</v>
      </c>
      <c r="C111" s="568" t="s">
        <v>39</v>
      </c>
      <c r="D111" s="1127">
        <f>D112+D113</f>
        <v>0</v>
      </c>
      <c r="E111" s="573">
        <f t="shared" si="75"/>
        <v>0</v>
      </c>
      <c r="F111" s="570">
        <f>F112+F113</f>
        <v>0</v>
      </c>
      <c r="G111" s="571">
        <f>G112+G113</f>
        <v>0</v>
      </c>
      <c r="H111" s="600">
        <f>H112+H113</f>
        <v>0</v>
      </c>
      <c r="I111" s="569">
        <f t="shared" si="76"/>
        <v>0</v>
      </c>
      <c r="J111" s="570">
        <f t="shared" ref="J111:Q111" si="89">J112+J113</f>
        <v>0</v>
      </c>
      <c r="K111" s="571">
        <f t="shared" si="89"/>
        <v>0</v>
      </c>
      <c r="L111" s="600">
        <f t="shared" si="89"/>
        <v>0</v>
      </c>
      <c r="M111" s="1097">
        <f t="shared" si="89"/>
        <v>0</v>
      </c>
      <c r="N111" s="1114">
        <f t="shared" si="78"/>
        <v>0</v>
      </c>
      <c r="O111" s="684">
        <f t="shared" si="89"/>
        <v>0</v>
      </c>
      <c r="P111" s="687">
        <f t="shared" si="89"/>
        <v>0</v>
      </c>
      <c r="Q111" s="573">
        <f t="shared" si="89"/>
        <v>0</v>
      </c>
      <c r="R111" s="617"/>
    </row>
    <row r="112" spans="2:18">
      <c r="B112" s="574" t="s">
        <v>642</v>
      </c>
      <c r="C112" s="575" t="s">
        <v>41</v>
      </c>
      <c r="D112" s="1128">
        <v>0</v>
      </c>
      <c r="E112" s="619">
        <f t="shared" si="75"/>
        <v>0</v>
      </c>
      <c r="F112" s="372">
        <f t="shared" ref="F112:H113" si="90">IFERROR($D112*F129/100, 0)</f>
        <v>0</v>
      </c>
      <c r="G112" s="373">
        <f t="shared" si="90"/>
        <v>0</v>
      </c>
      <c r="H112" s="374">
        <f t="shared" si="90"/>
        <v>0</v>
      </c>
      <c r="I112" s="320">
        <f t="shared" si="76"/>
        <v>0</v>
      </c>
      <c r="J112" s="372">
        <f t="shared" ref="J112:Q113" si="91">IFERROR($D112*J129/100, 0)</f>
        <v>0</v>
      </c>
      <c r="K112" s="373">
        <f t="shared" si="91"/>
        <v>0</v>
      </c>
      <c r="L112" s="374">
        <f t="shared" si="91"/>
        <v>0</v>
      </c>
      <c r="M112" s="1094">
        <f t="shared" si="91"/>
        <v>0</v>
      </c>
      <c r="N112" s="1126">
        <f t="shared" si="78"/>
        <v>0</v>
      </c>
      <c r="O112" s="679">
        <f t="shared" si="91"/>
        <v>0</v>
      </c>
      <c r="P112" s="682">
        <f t="shared" si="91"/>
        <v>0</v>
      </c>
      <c r="Q112" s="619">
        <f t="shared" si="91"/>
        <v>0</v>
      </c>
    </row>
    <row r="113" spans="2:18">
      <c r="B113" s="574" t="s">
        <v>643</v>
      </c>
      <c r="C113" s="579" t="s">
        <v>644</v>
      </c>
      <c r="D113" s="1128">
        <v>0</v>
      </c>
      <c r="E113" s="619">
        <f t="shared" si="75"/>
        <v>0</v>
      </c>
      <c r="F113" s="372">
        <f t="shared" si="90"/>
        <v>0</v>
      </c>
      <c r="G113" s="373">
        <f t="shared" si="90"/>
        <v>0</v>
      </c>
      <c r="H113" s="374">
        <f t="shared" si="90"/>
        <v>0</v>
      </c>
      <c r="I113" s="320">
        <f t="shared" si="76"/>
        <v>0</v>
      </c>
      <c r="J113" s="372">
        <f t="shared" si="91"/>
        <v>0</v>
      </c>
      <c r="K113" s="373">
        <f t="shared" si="91"/>
        <v>0</v>
      </c>
      <c r="L113" s="374">
        <f t="shared" si="91"/>
        <v>0</v>
      </c>
      <c r="M113" s="1094">
        <f t="shared" si="91"/>
        <v>0</v>
      </c>
      <c r="N113" s="1126">
        <f t="shared" si="78"/>
        <v>0</v>
      </c>
      <c r="O113" s="679">
        <f t="shared" si="91"/>
        <v>0</v>
      </c>
      <c r="P113" s="682">
        <f t="shared" si="91"/>
        <v>0</v>
      </c>
      <c r="Q113" s="619">
        <f t="shared" si="91"/>
        <v>0</v>
      </c>
    </row>
    <row r="114" spans="2:18">
      <c r="B114" s="580" t="s">
        <v>175</v>
      </c>
      <c r="C114" s="581" t="s">
        <v>598</v>
      </c>
      <c r="D114" s="1127">
        <f>SUM(D115:D117)</f>
        <v>2.38</v>
      </c>
      <c r="E114" s="573">
        <f t="shared" si="75"/>
        <v>0.77245896707187667</v>
      </c>
      <c r="F114" s="570">
        <f>F115+F116+F117</f>
        <v>5.2863383127269604E-2</v>
      </c>
      <c r="G114" s="571">
        <f>G115+G116+G117</f>
        <v>5.0222603513558665E-2</v>
      </c>
      <c r="H114" s="600">
        <f>H115+H116+H117</f>
        <v>0.66937298043104843</v>
      </c>
      <c r="I114" s="569">
        <f t="shared" si="76"/>
        <v>1.6030882206898327</v>
      </c>
      <c r="J114" s="570">
        <f t="shared" ref="J114:Q114" si="92">J115+J116+J117</f>
        <v>1.1097420191959537</v>
      </c>
      <c r="K114" s="571">
        <f t="shared" si="92"/>
        <v>0.46340098894398518</v>
      </c>
      <c r="L114" s="600">
        <f t="shared" si="92"/>
        <v>2.9945212549893775E-2</v>
      </c>
      <c r="M114" s="1097">
        <f t="shared" si="92"/>
        <v>1.8826022954404167E-4</v>
      </c>
      <c r="N114" s="1114">
        <f t="shared" si="78"/>
        <v>4.1042069971060488E-3</v>
      </c>
      <c r="O114" s="689">
        <f t="shared" ref="O114:P114" si="93">SUM(O115:O117)</f>
        <v>4.1042069971060488E-3</v>
      </c>
      <c r="P114" s="693">
        <f t="shared" si="93"/>
        <v>0</v>
      </c>
      <c r="Q114" s="573">
        <f t="shared" si="92"/>
        <v>1.6034501164012091E-4</v>
      </c>
      <c r="R114" s="617"/>
    </row>
    <row r="115" spans="2:18">
      <c r="B115" s="582" t="s">
        <v>503</v>
      </c>
      <c r="C115" s="1070" t="s">
        <v>599</v>
      </c>
      <c r="D115" s="1129">
        <v>0</v>
      </c>
      <c r="E115" s="619">
        <f t="shared" si="75"/>
        <v>0</v>
      </c>
      <c r="F115" s="372">
        <f t="shared" ref="F115:H117" si="94">IFERROR($D115*F131/100, 0)</f>
        <v>0</v>
      </c>
      <c r="G115" s="373">
        <f t="shared" si="94"/>
        <v>0</v>
      </c>
      <c r="H115" s="374">
        <f t="shared" si="94"/>
        <v>0</v>
      </c>
      <c r="I115" s="320">
        <f t="shared" si="76"/>
        <v>0</v>
      </c>
      <c r="J115" s="372">
        <f t="shared" ref="J115:Q117" si="95">IFERROR($D115*J131/100, 0)</f>
        <v>0</v>
      </c>
      <c r="K115" s="373">
        <f t="shared" si="95"/>
        <v>0</v>
      </c>
      <c r="L115" s="374">
        <f t="shared" si="95"/>
        <v>0</v>
      </c>
      <c r="M115" s="1094">
        <f t="shared" si="95"/>
        <v>0</v>
      </c>
      <c r="N115" s="1126">
        <f t="shared" si="78"/>
        <v>0</v>
      </c>
      <c r="O115" s="679">
        <f t="shared" si="95"/>
        <v>0</v>
      </c>
      <c r="P115" s="682">
        <f t="shared" si="95"/>
        <v>0</v>
      </c>
      <c r="Q115" s="619">
        <f t="shared" si="95"/>
        <v>0</v>
      </c>
    </row>
    <row r="116" spans="2:18">
      <c r="B116" s="574" t="s">
        <v>504</v>
      </c>
      <c r="C116" s="1070" t="s">
        <v>599</v>
      </c>
      <c r="D116" s="1129">
        <v>0</v>
      </c>
      <c r="E116" s="619">
        <f t="shared" si="75"/>
        <v>0</v>
      </c>
      <c r="F116" s="372">
        <f t="shared" si="94"/>
        <v>0</v>
      </c>
      <c r="G116" s="373">
        <f t="shared" si="94"/>
        <v>0</v>
      </c>
      <c r="H116" s="374">
        <f t="shared" si="94"/>
        <v>0</v>
      </c>
      <c r="I116" s="320">
        <f t="shared" si="76"/>
        <v>0</v>
      </c>
      <c r="J116" s="372">
        <f t="shared" si="95"/>
        <v>0</v>
      </c>
      <c r="K116" s="373">
        <f t="shared" si="95"/>
        <v>0</v>
      </c>
      <c r="L116" s="374">
        <f t="shared" si="95"/>
        <v>0</v>
      </c>
      <c r="M116" s="1094">
        <f t="shared" si="95"/>
        <v>0</v>
      </c>
      <c r="N116" s="1126">
        <f t="shared" si="78"/>
        <v>0</v>
      </c>
      <c r="O116" s="679">
        <f t="shared" si="95"/>
        <v>0</v>
      </c>
      <c r="P116" s="682">
        <f t="shared" si="95"/>
        <v>0</v>
      </c>
      <c r="Q116" s="619">
        <f t="shared" si="95"/>
        <v>0</v>
      </c>
    </row>
    <row r="117" spans="2:18">
      <c r="B117" s="620" t="s">
        <v>505</v>
      </c>
      <c r="C117" s="1070" t="s">
        <v>599</v>
      </c>
      <c r="D117" s="1125">
        <v>2.38</v>
      </c>
      <c r="E117" s="619">
        <f t="shared" si="75"/>
        <v>0.77245896707187667</v>
      </c>
      <c r="F117" s="372">
        <f t="shared" si="94"/>
        <v>5.2863383127269604E-2</v>
      </c>
      <c r="G117" s="373">
        <f t="shared" si="94"/>
        <v>5.0222603513558665E-2</v>
      </c>
      <c r="H117" s="374">
        <f t="shared" si="94"/>
        <v>0.66937298043104843</v>
      </c>
      <c r="I117" s="320">
        <f t="shared" si="76"/>
        <v>1.6030882206898327</v>
      </c>
      <c r="J117" s="372">
        <f t="shared" si="95"/>
        <v>1.1097420191959537</v>
      </c>
      <c r="K117" s="373">
        <f t="shared" si="95"/>
        <v>0.46340098894398518</v>
      </c>
      <c r="L117" s="374">
        <f t="shared" si="95"/>
        <v>2.9945212549893775E-2</v>
      </c>
      <c r="M117" s="1094">
        <f t="shared" si="95"/>
        <v>1.8826022954404167E-4</v>
      </c>
      <c r="N117" s="1126">
        <f t="shared" si="78"/>
        <v>4.1042069971060488E-3</v>
      </c>
      <c r="O117" s="679">
        <f t="shared" si="95"/>
        <v>4.1042069971060488E-3</v>
      </c>
      <c r="P117" s="682">
        <f t="shared" si="95"/>
        <v>0</v>
      </c>
      <c r="Q117" s="619">
        <f t="shared" si="95"/>
        <v>1.6034501164012091E-4</v>
      </c>
    </row>
    <row r="118" spans="2:18" ht="74.25" customHeight="1" thickBot="1">
      <c r="B118" s="546" t="s">
        <v>79</v>
      </c>
      <c r="C118" s="32" t="s">
        <v>645</v>
      </c>
      <c r="D118" s="1130" t="s">
        <v>249</v>
      </c>
      <c r="E118" s="1103" t="s">
        <v>250</v>
      </c>
      <c r="F118" s="1104" t="s">
        <v>251</v>
      </c>
      <c r="G118" s="1105" t="s">
        <v>252</v>
      </c>
      <c r="H118" s="1106" t="s">
        <v>253</v>
      </c>
      <c r="I118" s="32" t="s">
        <v>254</v>
      </c>
      <c r="J118" s="1104" t="s">
        <v>255</v>
      </c>
      <c r="K118" s="1105" t="s">
        <v>256</v>
      </c>
      <c r="L118" s="1107" t="s">
        <v>257</v>
      </c>
      <c r="M118" s="1108" t="s">
        <v>258</v>
      </c>
      <c r="N118" s="998" t="s">
        <v>259</v>
      </c>
      <c r="O118" s="1109" t="s">
        <v>260</v>
      </c>
      <c r="P118" s="1109" t="s">
        <v>261</v>
      </c>
      <c r="Q118" s="1110" t="s">
        <v>262</v>
      </c>
    </row>
    <row r="119" spans="2:18">
      <c r="B119" s="387" t="s">
        <v>208</v>
      </c>
      <c r="C119" s="629" t="s">
        <v>646</v>
      </c>
      <c r="D119" s="1013">
        <f t="shared" ref="D119:D134" si="96">E119+I119+M119+N119+Q119</f>
        <v>100.00000000000001</v>
      </c>
      <c r="E119" s="631">
        <f t="shared" ref="E119:E134" si="97">SUM(F119:H119)</f>
        <v>34.589509999999997</v>
      </c>
      <c r="F119" s="1131">
        <v>2.36714</v>
      </c>
      <c r="G119" s="1132">
        <v>2.2488899999999998</v>
      </c>
      <c r="H119" s="1133">
        <v>29.973479999999999</v>
      </c>
      <c r="I119" s="631">
        <f t="shared" ref="I119:I134" si="98">SUM(J119:L119)</f>
        <v>65.211100000000002</v>
      </c>
      <c r="J119" s="1131">
        <v>49.692520000000002</v>
      </c>
      <c r="K119" s="1132">
        <v>14.177680000000001</v>
      </c>
      <c r="L119" s="1133">
        <v>1.3409</v>
      </c>
      <c r="M119" s="1134">
        <v>8.43E-3</v>
      </c>
      <c r="N119" s="1112">
        <f>SUM(O119:P119)</f>
        <v>0.18378</v>
      </c>
      <c r="O119" s="633">
        <v>0.18378</v>
      </c>
      <c r="P119" s="637">
        <v>0</v>
      </c>
      <c r="Q119" s="1135">
        <v>7.1799999999999998E-3</v>
      </c>
      <c r="R119" s="28"/>
    </row>
    <row r="120" spans="2:18">
      <c r="B120" s="417" t="s">
        <v>210</v>
      </c>
      <c r="C120" s="638" t="s">
        <v>647</v>
      </c>
      <c r="D120" s="1013">
        <f t="shared" si="96"/>
        <v>0</v>
      </c>
      <c r="E120" s="640">
        <f t="shared" si="97"/>
        <v>0</v>
      </c>
      <c r="F120" s="1136">
        <v>0</v>
      </c>
      <c r="G120" s="1137">
        <v>0</v>
      </c>
      <c r="H120" s="1138">
        <v>0</v>
      </c>
      <c r="I120" s="640">
        <f t="shared" si="98"/>
        <v>0</v>
      </c>
      <c r="J120" s="1136">
        <v>0</v>
      </c>
      <c r="K120" s="1137">
        <v>0</v>
      </c>
      <c r="L120" s="1138">
        <v>0</v>
      </c>
      <c r="M120" s="1139">
        <v>0</v>
      </c>
      <c r="N120" s="1114">
        <f t="shared" ref="N120:N133" si="99">SUM(O120:P120)</f>
        <v>0</v>
      </c>
      <c r="O120" s="642">
        <v>0</v>
      </c>
      <c r="P120" s="645">
        <v>0</v>
      </c>
      <c r="Q120" s="1140">
        <v>0</v>
      </c>
    </row>
    <row r="121" spans="2:18">
      <c r="B121" s="417" t="s">
        <v>218</v>
      </c>
      <c r="C121" s="638" t="s">
        <v>648</v>
      </c>
      <c r="D121" s="1013">
        <f t="shared" si="96"/>
        <v>0</v>
      </c>
      <c r="E121" s="640">
        <f t="shared" si="97"/>
        <v>0</v>
      </c>
      <c r="F121" s="1136">
        <v>0</v>
      </c>
      <c r="G121" s="1137">
        <v>0</v>
      </c>
      <c r="H121" s="1138">
        <v>0</v>
      </c>
      <c r="I121" s="640">
        <f t="shared" si="98"/>
        <v>0</v>
      </c>
      <c r="J121" s="1136">
        <v>0</v>
      </c>
      <c r="K121" s="1137">
        <v>0</v>
      </c>
      <c r="L121" s="1138">
        <v>0</v>
      </c>
      <c r="M121" s="1139">
        <v>0</v>
      </c>
      <c r="N121" s="1114">
        <f t="shared" si="99"/>
        <v>0</v>
      </c>
      <c r="O121" s="642">
        <v>0</v>
      </c>
      <c r="P121" s="645">
        <v>0</v>
      </c>
      <c r="Q121" s="1140">
        <v>0</v>
      </c>
    </row>
    <row r="122" spans="2:18">
      <c r="B122" s="421" t="s">
        <v>649</v>
      </c>
      <c r="C122" s="638" t="s">
        <v>650</v>
      </c>
      <c r="D122" s="1013">
        <f t="shared" si="96"/>
        <v>99.999999999999943</v>
      </c>
      <c r="E122" s="640">
        <f t="shared" si="97"/>
        <v>7.6701333598078083</v>
      </c>
      <c r="F122" s="1136">
        <v>5.6694072428134703</v>
      </c>
      <c r="G122" s="1137">
        <v>0.947885757708398</v>
      </c>
      <c r="H122" s="1138">
        <v>1.0528403592859401</v>
      </c>
      <c r="I122" s="640">
        <f t="shared" si="98"/>
        <v>92.324698940751773</v>
      </c>
      <c r="J122" s="1136">
        <v>16.521937364968998</v>
      </c>
      <c r="K122" s="1137">
        <v>74.682239775513906</v>
      </c>
      <c r="L122" s="1138">
        <v>1.1205218002688699</v>
      </c>
      <c r="M122" s="1139">
        <v>2.1848491038798599E-4</v>
      </c>
      <c r="N122" s="1114">
        <f t="shared" si="99"/>
        <v>4.7631265517323997E-3</v>
      </c>
      <c r="O122" s="642">
        <v>4.7631265517323997E-3</v>
      </c>
      <c r="P122" s="645">
        <v>0</v>
      </c>
      <c r="Q122" s="1140">
        <v>1.86087978242674E-4</v>
      </c>
    </row>
    <row r="123" spans="2:18">
      <c r="B123" s="417" t="s">
        <v>651</v>
      </c>
      <c r="C123" s="638" t="s">
        <v>652</v>
      </c>
      <c r="D123" s="1013">
        <f t="shared" si="96"/>
        <v>100.00000000000003</v>
      </c>
      <c r="E123" s="640">
        <f t="shared" si="97"/>
        <v>0</v>
      </c>
      <c r="F123" s="1136">
        <v>0</v>
      </c>
      <c r="G123" s="1137">
        <v>0</v>
      </c>
      <c r="H123" s="1138">
        <v>0</v>
      </c>
      <c r="I123" s="640">
        <f t="shared" si="98"/>
        <v>100.00000000000003</v>
      </c>
      <c r="J123" s="1136">
        <v>3.60251125263673</v>
      </c>
      <c r="K123" s="1137">
        <v>96.397488747363298</v>
      </c>
      <c r="L123" s="1138">
        <v>0</v>
      </c>
      <c r="M123" s="1139">
        <v>0</v>
      </c>
      <c r="N123" s="1114">
        <f t="shared" si="99"/>
        <v>0</v>
      </c>
      <c r="O123" s="642">
        <v>0</v>
      </c>
      <c r="P123" s="645">
        <v>0</v>
      </c>
      <c r="Q123" s="1140">
        <v>0</v>
      </c>
    </row>
    <row r="124" spans="2:18">
      <c r="B124" s="417" t="s">
        <v>653</v>
      </c>
      <c r="C124" s="638" t="s">
        <v>654</v>
      </c>
      <c r="D124" s="1013">
        <f t="shared" si="96"/>
        <v>100</v>
      </c>
      <c r="E124" s="640">
        <f t="shared" si="97"/>
        <v>40.418049120949497</v>
      </c>
      <c r="F124" s="1136">
        <v>0</v>
      </c>
      <c r="G124" s="1137">
        <v>0</v>
      </c>
      <c r="H124" s="1138">
        <v>40.418049120949497</v>
      </c>
      <c r="I124" s="640">
        <f t="shared" si="98"/>
        <v>59.581950879050503</v>
      </c>
      <c r="J124" s="1136">
        <v>59.581950879050503</v>
      </c>
      <c r="K124" s="1137">
        <v>0</v>
      </c>
      <c r="L124" s="1138">
        <v>0</v>
      </c>
      <c r="M124" s="1139">
        <v>0</v>
      </c>
      <c r="N124" s="1114">
        <f t="shared" si="99"/>
        <v>0</v>
      </c>
      <c r="O124" s="642">
        <v>0</v>
      </c>
      <c r="P124" s="645">
        <v>0</v>
      </c>
      <c r="Q124" s="1140">
        <v>0</v>
      </c>
    </row>
    <row r="125" spans="2:18">
      <c r="B125" s="417" t="s">
        <v>655</v>
      </c>
      <c r="C125" s="638" t="s">
        <v>656</v>
      </c>
      <c r="D125" s="1013">
        <f t="shared" si="96"/>
        <v>100</v>
      </c>
      <c r="E125" s="640">
        <f t="shared" si="97"/>
        <v>17.371148928049401</v>
      </c>
      <c r="F125" s="1136">
        <v>1.4839001931777001</v>
      </c>
      <c r="G125" s="1137">
        <v>15.7333333516544</v>
      </c>
      <c r="H125" s="1138">
        <v>0.153915383217298</v>
      </c>
      <c r="I125" s="640">
        <f t="shared" si="98"/>
        <v>82.628851071950606</v>
      </c>
      <c r="J125" s="1136">
        <v>8.9699143857151906</v>
      </c>
      <c r="K125" s="1137">
        <v>72.230085001838603</v>
      </c>
      <c r="L125" s="1138">
        <v>1.42885168439682</v>
      </c>
      <c r="M125" s="1139">
        <v>0</v>
      </c>
      <c r="N125" s="1114">
        <f t="shared" si="99"/>
        <v>0</v>
      </c>
      <c r="O125" s="642">
        <v>0</v>
      </c>
      <c r="P125" s="645">
        <v>0</v>
      </c>
      <c r="Q125" s="1140">
        <v>0</v>
      </c>
    </row>
    <row r="126" spans="2:18">
      <c r="B126" s="421" t="s">
        <v>657</v>
      </c>
      <c r="C126" s="638" t="s">
        <v>658</v>
      </c>
      <c r="D126" s="1013">
        <f t="shared" si="96"/>
        <v>99.999999999999986</v>
      </c>
      <c r="E126" s="640">
        <f t="shared" si="97"/>
        <v>44.132030316733029</v>
      </c>
      <c r="F126" s="1136">
        <v>37.395082029098297</v>
      </c>
      <c r="G126" s="1137">
        <v>0.98223249395645695</v>
      </c>
      <c r="H126" s="1138">
        <v>5.7547157936782698</v>
      </c>
      <c r="I126" s="640">
        <f t="shared" si="98"/>
        <v>55.856529410213824</v>
      </c>
      <c r="J126" s="1136">
        <v>34.947801156541601</v>
      </c>
      <c r="K126" s="1137">
        <v>6.5739905913117198</v>
      </c>
      <c r="L126" s="1138">
        <v>14.334737662360499</v>
      </c>
      <c r="M126" s="1139">
        <v>4.8368274155181998E-4</v>
      </c>
      <c r="N126" s="1114">
        <f t="shared" si="99"/>
        <v>1.05446280240087E-2</v>
      </c>
      <c r="O126" s="642">
        <v>1.05446280240087E-2</v>
      </c>
      <c r="P126" s="645">
        <v>0</v>
      </c>
      <c r="Q126" s="1140">
        <v>4.1196228758506198E-4</v>
      </c>
    </row>
    <row r="127" spans="2:18">
      <c r="B127" s="421" t="s">
        <v>659</v>
      </c>
      <c r="C127" s="638" t="s">
        <v>660</v>
      </c>
      <c r="D127" s="1013">
        <f t="shared" si="96"/>
        <v>100</v>
      </c>
      <c r="E127" s="640">
        <f t="shared" si="97"/>
        <v>0</v>
      </c>
      <c r="F127" s="1136">
        <v>0</v>
      </c>
      <c r="G127" s="1137">
        <v>0</v>
      </c>
      <c r="H127" s="1138">
        <v>0</v>
      </c>
      <c r="I127" s="640">
        <f t="shared" si="98"/>
        <v>0</v>
      </c>
      <c r="J127" s="1136">
        <v>0</v>
      </c>
      <c r="K127" s="1137">
        <v>0</v>
      </c>
      <c r="L127" s="1138">
        <v>0</v>
      </c>
      <c r="M127" s="1139">
        <v>0</v>
      </c>
      <c r="N127" s="1114">
        <f t="shared" si="99"/>
        <v>100</v>
      </c>
      <c r="O127" s="642">
        <v>100</v>
      </c>
      <c r="P127" s="645">
        <v>0</v>
      </c>
      <c r="Q127" s="1140">
        <v>0</v>
      </c>
    </row>
    <row r="128" spans="2:18">
      <c r="B128" s="421" t="s">
        <v>661</v>
      </c>
      <c r="C128" s="638" t="s">
        <v>662</v>
      </c>
      <c r="D128" s="1013">
        <f t="shared" si="96"/>
        <v>100</v>
      </c>
      <c r="E128" s="640">
        <f t="shared" si="97"/>
        <v>87.867873371024984</v>
      </c>
      <c r="F128" s="1136">
        <v>6.72265381992813</v>
      </c>
      <c r="G128" s="1137">
        <v>79.215363584927104</v>
      </c>
      <c r="H128" s="1138">
        <v>1.9298559661697501</v>
      </c>
      <c r="I128" s="640">
        <f t="shared" si="98"/>
        <v>12.119288814310364</v>
      </c>
      <c r="J128" s="1136">
        <v>11.120118074059899</v>
      </c>
      <c r="K128" s="1137">
        <v>0.91283629176343595</v>
      </c>
      <c r="L128" s="1138">
        <v>8.6334448487029702E-2</v>
      </c>
      <c r="M128" s="1139">
        <v>5.4276933458547198E-4</v>
      </c>
      <c r="N128" s="1114">
        <f t="shared" si="99"/>
        <v>1.1832757806656999E-2</v>
      </c>
      <c r="O128" s="642">
        <v>1.1832757806656999E-2</v>
      </c>
      <c r="P128" s="645">
        <v>0</v>
      </c>
      <c r="Q128" s="1140">
        <v>4.62287523407318E-4</v>
      </c>
    </row>
    <row r="129" spans="2:17">
      <c r="B129" s="421" t="s">
        <v>663</v>
      </c>
      <c r="C129" s="638" t="s">
        <v>664</v>
      </c>
      <c r="D129" s="1013">
        <f t="shared" si="96"/>
        <v>99.999999999999901</v>
      </c>
      <c r="E129" s="640">
        <f t="shared" si="97"/>
        <v>61.942921900568066</v>
      </c>
      <c r="F129" s="1136">
        <v>0.74664484250999197</v>
      </c>
      <c r="G129" s="1137">
        <v>0.70934635039427196</v>
      </c>
      <c r="H129" s="1138">
        <v>60.486930707663802</v>
      </c>
      <c r="I129" s="640">
        <f t="shared" si="98"/>
        <v>20.568927688857983</v>
      </c>
      <c r="J129" s="1136">
        <v>15.6740470649495</v>
      </c>
      <c r="K129" s="1137">
        <v>4.4719330714520797</v>
      </c>
      <c r="L129" s="1138">
        <v>0.42294755245640198</v>
      </c>
      <c r="M129" s="1139">
        <v>16.423773632808601</v>
      </c>
      <c r="N129" s="1114">
        <f t="shared" si="99"/>
        <v>1.06211205748288</v>
      </c>
      <c r="O129" s="642">
        <v>1.06211205748288</v>
      </c>
      <c r="P129" s="645">
        <v>0</v>
      </c>
      <c r="Q129" s="1140">
        <v>2.2647202823752499E-3</v>
      </c>
    </row>
    <row r="130" spans="2:17">
      <c r="B130" s="417" t="s">
        <v>665</v>
      </c>
      <c r="C130" s="638" t="s">
        <v>666</v>
      </c>
      <c r="D130" s="1013">
        <f t="shared" si="96"/>
        <v>99.999999999999986</v>
      </c>
      <c r="E130" s="640">
        <f t="shared" si="97"/>
        <v>8.8576358567378648</v>
      </c>
      <c r="F130" s="1136">
        <v>0.60617407248378097</v>
      </c>
      <c r="G130" s="1137">
        <v>0.57589276927771504</v>
      </c>
      <c r="H130" s="1138">
        <v>7.6755690149763698</v>
      </c>
      <c r="I130" s="640">
        <f t="shared" si="98"/>
        <v>89.36661163198356</v>
      </c>
      <c r="J130" s="1136">
        <v>58.962306742897397</v>
      </c>
      <c r="K130" s="1137">
        <v>3.6306014954636598</v>
      </c>
      <c r="L130" s="1138">
        <v>26.773703393622501</v>
      </c>
      <c r="M130" s="1139">
        <v>2.1587432222167999E-3</v>
      </c>
      <c r="N130" s="1114">
        <f t="shared" si="99"/>
        <v>4.7062138716370501E-2</v>
      </c>
      <c r="O130" s="642">
        <v>4.7062138716370501E-2</v>
      </c>
      <c r="P130" s="645">
        <v>0</v>
      </c>
      <c r="Q130" s="1140">
        <v>1.72653162933997</v>
      </c>
    </row>
    <row r="131" spans="2:17">
      <c r="B131" s="421" t="s">
        <v>667</v>
      </c>
      <c r="C131" s="638" t="s">
        <v>668</v>
      </c>
      <c r="D131" s="1013">
        <f t="shared" si="96"/>
        <v>0</v>
      </c>
      <c r="E131" s="640">
        <f t="shared" si="97"/>
        <v>0</v>
      </c>
      <c r="F131" s="1136">
        <v>0</v>
      </c>
      <c r="G131" s="1137">
        <v>0</v>
      </c>
      <c r="H131" s="1138">
        <v>0</v>
      </c>
      <c r="I131" s="640">
        <f t="shared" si="98"/>
        <v>0</v>
      </c>
      <c r="J131" s="1136">
        <v>0</v>
      </c>
      <c r="K131" s="1137">
        <v>0</v>
      </c>
      <c r="L131" s="1138">
        <v>0</v>
      </c>
      <c r="M131" s="1139">
        <v>0</v>
      </c>
      <c r="N131" s="1114">
        <f t="shared" si="99"/>
        <v>0</v>
      </c>
      <c r="O131" s="642">
        <v>0</v>
      </c>
      <c r="P131" s="645">
        <v>0</v>
      </c>
      <c r="Q131" s="1140">
        <v>0</v>
      </c>
    </row>
    <row r="132" spans="2:17">
      <c r="B132" s="421" t="s">
        <v>669</v>
      </c>
      <c r="C132" s="646" t="s">
        <v>670</v>
      </c>
      <c r="D132" s="1013">
        <f t="shared" si="96"/>
        <v>0</v>
      </c>
      <c r="E132" s="648">
        <f t="shared" si="97"/>
        <v>0</v>
      </c>
      <c r="F132" s="1141">
        <v>0</v>
      </c>
      <c r="G132" s="1142">
        <v>0</v>
      </c>
      <c r="H132" s="1143">
        <v>0</v>
      </c>
      <c r="I132" s="648">
        <f t="shared" si="98"/>
        <v>0</v>
      </c>
      <c r="J132" s="1141">
        <v>0</v>
      </c>
      <c r="K132" s="1142">
        <v>0</v>
      </c>
      <c r="L132" s="1143">
        <v>0</v>
      </c>
      <c r="M132" s="1144">
        <v>0</v>
      </c>
      <c r="N132" s="1116">
        <f t="shared" si="99"/>
        <v>0</v>
      </c>
      <c r="O132" s="650">
        <v>0</v>
      </c>
      <c r="P132" s="653">
        <v>0</v>
      </c>
      <c r="Q132" s="1145">
        <v>0</v>
      </c>
    </row>
    <row r="133" spans="2:17">
      <c r="B133" s="695" t="s">
        <v>671</v>
      </c>
      <c r="C133" s="696" t="s">
        <v>672</v>
      </c>
      <c r="D133" s="1146">
        <f t="shared" si="96"/>
        <v>100</v>
      </c>
      <c r="E133" s="698">
        <f t="shared" si="97"/>
        <v>32.456259120667092</v>
      </c>
      <c r="F133" s="1147">
        <v>2.22115055156595</v>
      </c>
      <c r="G133" s="1148">
        <v>2.1101934249394398</v>
      </c>
      <c r="H133" s="1149">
        <v>28.124915144161701</v>
      </c>
      <c r="I133" s="698">
        <f t="shared" si="98"/>
        <v>67.356647928144227</v>
      </c>
      <c r="J133" s="1147">
        <v>46.627815932603099</v>
      </c>
      <c r="K133" s="1148">
        <v>19.470629787562402</v>
      </c>
      <c r="L133" s="1149">
        <v>1.2582022079787301</v>
      </c>
      <c r="M133" s="1150">
        <v>7.9100936783210798E-3</v>
      </c>
      <c r="N133" s="1151">
        <f t="shared" si="99"/>
        <v>0.17244567214731299</v>
      </c>
      <c r="O133" s="700">
        <v>0.17244567214731299</v>
      </c>
      <c r="P133" s="703">
        <v>0</v>
      </c>
      <c r="Q133" s="1152">
        <v>6.7371853630302904E-3</v>
      </c>
    </row>
    <row r="134" spans="2:17" ht="25.5">
      <c r="B134" s="704" t="s">
        <v>81</v>
      </c>
      <c r="C134" s="32" t="s">
        <v>673</v>
      </c>
      <c r="D134" s="1153">
        <f t="shared" si="96"/>
        <v>100</v>
      </c>
      <c r="E134" s="711">
        <f t="shared" si="97"/>
        <v>28.364483828402264</v>
      </c>
      <c r="F134" s="708">
        <f>IFERROR(F96/$D$96*100, 0)</f>
        <v>3.0757637635307145</v>
      </c>
      <c r="G134" s="709">
        <f>IFERROR(G96/$D$96*100, 0)</f>
        <v>1.9432328301614663</v>
      </c>
      <c r="H134" s="712">
        <f>IFERROR(H96/$D$96*100, 0)</f>
        <v>23.345487234710081</v>
      </c>
      <c r="I134" s="707">
        <f t="shared" si="98"/>
        <v>71.480621936719629</v>
      </c>
      <c r="J134" s="708">
        <f t="shared" ref="J134:Q134" si="100">IFERROR(J96/$D$96*100, 0)</f>
        <v>41.963074013809923</v>
      </c>
      <c r="K134" s="709">
        <f t="shared" si="100"/>
        <v>28.236412900524005</v>
      </c>
      <c r="L134" s="712">
        <f t="shared" si="100"/>
        <v>1.2811350223857032</v>
      </c>
      <c r="M134" s="707">
        <f t="shared" si="100"/>
        <v>6.5487657356056205E-3</v>
      </c>
      <c r="N134" s="1154">
        <f>SUM(O134:P134)</f>
        <v>0.14276775407943071</v>
      </c>
      <c r="O134" s="709">
        <f t="shared" si="100"/>
        <v>0.14276775407943071</v>
      </c>
      <c r="P134" s="712">
        <f t="shared" si="100"/>
        <v>0</v>
      </c>
      <c r="Q134" s="707">
        <f t="shared" si="100"/>
        <v>5.5777150630662332E-3</v>
      </c>
    </row>
  </sheetData>
  <sheetProtection password="F757"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tabSelected="1" topLeftCell="A97" zoomScaleNormal="100" workbookViewId="0">
      <selection activeCell="E104" sqref="E104"/>
    </sheetView>
  </sheetViews>
  <sheetFormatPr defaultColWidth="9.140625" defaultRowHeight="15"/>
  <cols>
    <col min="1" max="1" width="9.140625" style="788"/>
    <col min="2" max="2" width="8.7109375" style="788" customWidth="1"/>
    <col min="3" max="3" width="78.28515625" style="788" customWidth="1"/>
    <col min="4" max="4" width="16.42578125" style="788" customWidth="1"/>
    <col min="5" max="5" width="21.140625" style="788" customWidth="1"/>
    <col min="6" max="6" width="19" style="1155" customWidth="1"/>
    <col min="7" max="7" width="43" style="1155" customWidth="1"/>
    <col min="8" max="16384" width="9.140625" style="788"/>
  </cols>
  <sheetData>
    <row r="1" spans="1:7">
      <c r="A1" s="1434" t="s">
        <v>0</v>
      </c>
      <c r="B1" s="1435"/>
      <c r="C1" s="1435"/>
      <c r="D1" s="1435"/>
      <c r="E1" s="1435"/>
      <c r="F1" s="1436"/>
    </row>
    <row r="2" spans="1:7">
      <c r="A2" s="1434" t="s">
        <v>1</v>
      </c>
      <c r="B2" s="1435"/>
      <c r="C2" s="1435"/>
      <c r="D2" s="1435"/>
      <c r="E2" s="1435"/>
      <c r="F2" s="1436"/>
    </row>
    <row r="3" spans="1:7">
      <c r="A3" s="1437"/>
      <c r="B3" s="1438"/>
      <c r="C3" s="1438"/>
      <c r="D3" s="1438"/>
      <c r="E3" s="1438"/>
      <c r="F3" s="1439"/>
    </row>
    <row r="4" spans="1:7">
      <c r="A4" s="1156"/>
      <c r="B4" s="1156"/>
      <c r="C4" s="1156"/>
      <c r="D4" s="1156"/>
      <c r="E4" s="1156"/>
      <c r="F4" s="1157"/>
    </row>
    <row r="5" spans="1:7">
      <c r="A5" s="1440" t="s">
        <v>962</v>
      </c>
      <c r="B5" s="1441"/>
      <c r="C5" s="1441"/>
      <c r="D5" s="1441"/>
      <c r="E5" s="1441"/>
      <c r="F5" s="1442"/>
    </row>
    <row r="6" spans="1:7">
      <c r="A6" s="1156"/>
      <c r="B6" s="1156"/>
      <c r="C6" s="1156"/>
      <c r="D6" s="1156"/>
      <c r="E6" s="1156"/>
      <c r="F6" s="1157"/>
    </row>
    <row r="8" spans="1:7" ht="15.75" thickBot="1">
      <c r="B8" s="1334" t="s">
        <v>963</v>
      </c>
      <c r="C8" s="1334"/>
      <c r="D8" s="1334"/>
      <c r="E8" s="1334"/>
    </row>
    <row r="9" spans="1:7" ht="15.75" thickBot="1">
      <c r="B9" s="1158" t="s">
        <v>4</v>
      </c>
      <c r="C9" s="1159" t="s">
        <v>964</v>
      </c>
      <c r="D9" s="1160" t="s">
        <v>677</v>
      </c>
      <c r="E9" s="1161" t="s">
        <v>49</v>
      </c>
      <c r="G9" s="1162"/>
    </row>
    <row r="10" spans="1:7" ht="15.75" thickBot="1">
      <c r="B10" s="1163"/>
      <c r="C10" s="1159" t="s">
        <v>965</v>
      </c>
      <c r="D10" s="1159"/>
      <c r="E10" s="1164"/>
      <c r="F10" s="1165"/>
      <c r="G10" s="1162"/>
    </row>
    <row r="11" spans="1:7">
      <c r="B11" s="1166" t="s">
        <v>96</v>
      </c>
      <c r="C11" s="1167" t="s">
        <v>966</v>
      </c>
      <c r="D11" s="1167" t="s">
        <v>967</v>
      </c>
      <c r="E11" s="1168">
        <v>7620.3</v>
      </c>
      <c r="F11" s="1169"/>
      <c r="G11" s="1162"/>
    </row>
    <row r="12" spans="1:7">
      <c r="B12" s="1170" t="s">
        <v>102</v>
      </c>
      <c r="C12" s="1171" t="s">
        <v>968</v>
      </c>
      <c r="D12" s="1172" t="s">
        <v>967</v>
      </c>
      <c r="E12" s="1173">
        <v>1888.8</v>
      </c>
      <c r="F12" s="1169"/>
      <c r="G12" s="1162"/>
    </row>
    <row r="13" spans="1:7">
      <c r="B13" s="1170" t="s">
        <v>124</v>
      </c>
      <c r="C13" s="1171" t="s">
        <v>969</v>
      </c>
      <c r="D13" s="1171" t="s">
        <v>967</v>
      </c>
      <c r="E13" s="1173">
        <v>946</v>
      </c>
      <c r="F13" s="1169"/>
      <c r="G13" s="1162"/>
    </row>
    <row r="14" spans="1:7">
      <c r="B14" s="1170" t="s">
        <v>268</v>
      </c>
      <c r="C14" s="1171" t="s">
        <v>970</v>
      </c>
      <c r="D14" s="1171" t="s">
        <v>967</v>
      </c>
      <c r="E14" s="1173">
        <v>4157</v>
      </c>
      <c r="F14" s="1174"/>
      <c r="G14" s="1162"/>
    </row>
    <row r="15" spans="1:7">
      <c r="B15" s="1170" t="s">
        <v>270</v>
      </c>
      <c r="C15" s="1171" t="s">
        <v>971</v>
      </c>
      <c r="D15" s="1171" t="s">
        <v>967</v>
      </c>
      <c r="E15" s="1173">
        <v>175.2</v>
      </c>
      <c r="F15" s="1174"/>
      <c r="G15" s="1162"/>
    </row>
    <row r="16" spans="1:7">
      <c r="B16" s="1170" t="s">
        <v>278</v>
      </c>
      <c r="C16" s="1171" t="s">
        <v>972</v>
      </c>
      <c r="D16" s="1171" t="s">
        <v>967</v>
      </c>
      <c r="E16" s="1173">
        <v>2205.8000000000002</v>
      </c>
      <c r="F16" s="1174"/>
      <c r="G16" s="1162"/>
    </row>
    <row r="17" spans="2:7">
      <c r="B17" s="1175" t="s">
        <v>280</v>
      </c>
      <c r="C17" s="1176" t="s">
        <v>973</v>
      </c>
      <c r="D17" s="1176" t="s">
        <v>974</v>
      </c>
      <c r="E17" s="1177">
        <v>345</v>
      </c>
      <c r="F17" s="1174"/>
      <c r="G17" s="1162"/>
    </row>
    <row r="18" spans="2:7">
      <c r="B18" s="1175" t="s">
        <v>600</v>
      </c>
      <c r="C18" s="1176" t="s">
        <v>975</v>
      </c>
      <c r="D18" s="1176" t="s">
        <v>976</v>
      </c>
      <c r="E18" s="1177">
        <v>292</v>
      </c>
      <c r="F18" s="1174"/>
      <c r="G18" s="1162"/>
    </row>
    <row r="19" spans="2:7">
      <c r="B19" s="1175" t="s">
        <v>601</v>
      </c>
      <c r="C19" s="1176" t="s">
        <v>977</v>
      </c>
      <c r="D19" s="1176" t="s">
        <v>976</v>
      </c>
      <c r="E19" s="1177">
        <v>55</v>
      </c>
      <c r="F19" s="1174"/>
      <c r="G19" s="1162"/>
    </row>
    <row r="20" spans="2:7">
      <c r="B20" s="1175" t="s">
        <v>978</v>
      </c>
      <c r="C20" s="1176" t="s">
        <v>979</v>
      </c>
      <c r="D20" s="1178" t="s">
        <v>976</v>
      </c>
      <c r="E20" s="1177">
        <v>13</v>
      </c>
      <c r="F20" s="1174"/>
      <c r="G20" s="1162"/>
    </row>
    <row r="21" spans="2:7">
      <c r="B21" s="1170" t="s">
        <v>282</v>
      </c>
      <c r="C21" s="1171" t="s">
        <v>980</v>
      </c>
      <c r="D21" s="1171" t="s">
        <v>967</v>
      </c>
      <c r="E21" s="1173">
        <v>0</v>
      </c>
      <c r="F21" s="1174"/>
      <c r="G21" s="1162"/>
    </row>
    <row r="22" spans="2:7">
      <c r="B22" s="1175" t="s">
        <v>981</v>
      </c>
      <c r="C22" s="1176" t="s">
        <v>973</v>
      </c>
      <c r="D22" s="1176" t="s">
        <v>974</v>
      </c>
      <c r="E22" s="1177">
        <v>0</v>
      </c>
      <c r="F22" s="1174"/>
      <c r="G22" s="1162"/>
    </row>
    <row r="23" spans="2:7">
      <c r="B23" s="1175" t="s">
        <v>982</v>
      </c>
      <c r="C23" s="1176" t="s">
        <v>975</v>
      </c>
      <c r="D23" s="1176" t="s">
        <v>976</v>
      </c>
      <c r="E23" s="1177">
        <v>0</v>
      </c>
      <c r="F23" s="1174"/>
      <c r="G23" s="1162"/>
    </row>
    <row r="24" spans="2:7">
      <c r="B24" s="1175" t="s">
        <v>983</v>
      </c>
      <c r="C24" s="1176" t="s">
        <v>984</v>
      </c>
      <c r="D24" s="1176" t="s">
        <v>976</v>
      </c>
      <c r="E24" s="1177">
        <v>0</v>
      </c>
      <c r="F24" s="1174"/>
      <c r="G24" s="1162"/>
    </row>
    <row r="25" spans="2:7">
      <c r="B25" s="1170" t="s">
        <v>985</v>
      </c>
      <c r="C25" s="1171" t="s">
        <v>986</v>
      </c>
      <c r="D25" s="1171" t="s">
        <v>987</v>
      </c>
      <c r="E25" s="1173">
        <v>1514.5</v>
      </c>
      <c r="F25" s="1174"/>
      <c r="G25" s="1162"/>
    </row>
    <row r="26" spans="2:7">
      <c r="B26" s="1175" t="s">
        <v>988</v>
      </c>
      <c r="C26" s="1176" t="s">
        <v>989</v>
      </c>
      <c r="D26" s="1176" t="s">
        <v>987</v>
      </c>
      <c r="E26" s="1177">
        <v>1514.5</v>
      </c>
      <c r="F26" s="1174"/>
      <c r="G26" s="1162"/>
    </row>
    <row r="27" spans="2:7">
      <c r="B27" s="1175" t="s">
        <v>990</v>
      </c>
      <c r="C27" s="1176" t="s">
        <v>991</v>
      </c>
      <c r="D27" s="1176" t="s">
        <v>987</v>
      </c>
      <c r="E27" s="1177">
        <v>0</v>
      </c>
      <c r="F27" s="1174"/>
      <c r="G27" s="1162"/>
    </row>
    <row r="28" spans="2:7">
      <c r="B28" s="1175" t="s">
        <v>992</v>
      </c>
      <c r="C28" s="1176" t="s">
        <v>993</v>
      </c>
      <c r="D28" s="1176" t="s">
        <v>987</v>
      </c>
      <c r="E28" s="1177">
        <v>0</v>
      </c>
      <c r="F28" s="1174"/>
      <c r="G28" s="1162"/>
    </row>
    <row r="29" spans="2:7">
      <c r="B29" s="1175" t="s">
        <v>994</v>
      </c>
      <c r="C29" s="1176" t="s">
        <v>995</v>
      </c>
      <c r="D29" s="1176" t="s">
        <v>987</v>
      </c>
      <c r="E29" s="1177">
        <v>0</v>
      </c>
      <c r="F29" s="1174"/>
      <c r="G29" s="1162"/>
    </row>
    <row r="30" spans="2:7" ht="15.75" thickBot="1">
      <c r="B30" s="1179" t="s">
        <v>996</v>
      </c>
      <c r="C30" s="1180" t="s">
        <v>997</v>
      </c>
      <c r="D30" s="1180" t="s">
        <v>987</v>
      </c>
      <c r="E30" s="1181">
        <v>0</v>
      </c>
      <c r="F30" s="1174"/>
      <c r="G30" s="1162"/>
    </row>
    <row r="31" spans="2:7" ht="15.75" thickBot="1">
      <c r="B31" s="1163"/>
      <c r="C31" s="1159" t="s">
        <v>998</v>
      </c>
      <c r="D31" s="1159"/>
      <c r="E31" s="1164"/>
      <c r="F31" s="1165"/>
      <c r="G31" s="1182"/>
    </row>
    <row r="32" spans="2:7">
      <c r="B32" s="1183" t="s">
        <v>55</v>
      </c>
      <c r="C32" s="1184" t="s">
        <v>999</v>
      </c>
      <c r="D32" s="1185" t="s">
        <v>927</v>
      </c>
      <c r="E32" s="1186">
        <v>59</v>
      </c>
      <c r="F32" s="1187"/>
      <c r="G32" s="1188"/>
    </row>
    <row r="33" spans="2:7">
      <c r="B33" s="1175" t="s">
        <v>138</v>
      </c>
      <c r="C33" s="1189" t="s">
        <v>1000</v>
      </c>
      <c r="D33" s="1185" t="s">
        <v>927</v>
      </c>
      <c r="E33" s="1186">
        <v>71</v>
      </c>
      <c r="F33" s="1190"/>
      <c r="G33" s="1191"/>
    </row>
    <row r="34" spans="2:7" ht="15.75" thickBot="1">
      <c r="B34" s="1192" t="s">
        <v>298</v>
      </c>
      <c r="C34" s="1193" t="s">
        <v>1001</v>
      </c>
      <c r="D34" s="1194" t="s">
        <v>1002</v>
      </c>
      <c r="E34" s="1195">
        <v>39.6</v>
      </c>
      <c r="F34" s="1190"/>
      <c r="G34" s="1191"/>
    </row>
    <row r="35" spans="2:7" ht="15.75" thickBot="1">
      <c r="B35" s="1163"/>
      <c r="C35" s="1159" t="s">
        <v>1003</v>
      </c>
      <c r="D35" s="1159"/>
      <c r="E35" s="1164"/>
      <c r="F35" s="1169"/>
      <c r="G35" s="1169"/>
    </row>
    <row r="36" spans="2:7">
      <c r="B36" s="1170" t="s">
        <v>147</v>
      </c>
      <c r="C36" s="1196" t="s">
        <v>1004</v>
      </c>
      <c r="D36" s="1171" t="s">
        <v>927</v>
      </c>
      <c r="E36" s="1197">
        <v>20</v>
      </c>
      <c r="F36" s="1198"/>
      <c r="G36" s="1199"/>
    </row>
    <row r="37" spans="2:7">
      <c r="B37" s="1175" t="s">
        <v>406</v>
      </c>
      <c r="C37" s="1189" t="s">
        <v>1005</v>
      </c>
      <c r="D37" s="1176" t="s">
        <v>927</v>
      </c>
      <c r="E37" s="1186">
        <v>20</v>
      </c>
      <c r="F37" s="1190"/>
      <c r="G37" s="1190"/>
    </row>
    <row r="38" spans="2:7">
      <c r="B38" s="1200" t="s">
        <v>407</v>
      </c>
      <c r="C38" s="1196" t="s">
        <v>1006</v>
      </c>
      <c r="D38" s="1171" t="s">
        <v>737</v>
      </c>
      <c r="E38" s="1173">
        <v>375</v>
      </c>
      <c r="F38" s="1198"/>
      <c r="G38" s="1201"/>
    </row>
    <row r="39" spans="2:7" ht="25.5">
      <c r="B39" s="1202" t="s">
        <v>1007</v>
      </c>
      <c r="C39" s="1203" t="s">
        <v>1008</v>
      </c>
      <c r="D39" s="1176" t="s">
        <v>737</v>
      </c>
      <c r="E39" s="1177">
        <v>375</v>
      </c>
      <c r="F39" s="1433"/>
      <c r="G39" s="1169"/>
    </row>
    <row r="40" spans="2:7">
      <c r="B40" s="1202" t="s">
        <v>1009</v>
      </c>
      <c r="C40" s="1203" t="s">
        <v>1010</v>
      </c>
      <c r="D40" s="1176" t="s">
        <v>737</v>
      </c>
      <c r="E40" s="1177">
        <v>0</v>
      </c>
      <c r="F40" s="1433"/>
      <c r="G40" s="1169"/>
    </row>
    <row r="41" spans="2:7" ht="25.5">
      <c r="B41" s="1202" t="s">
        <v>1011</v>
      </c>
      <c r="C41" s="1203" t="s">
        <v>1012</v>
      </c>
      <c r="D41" s="1176" t="s">
        <v>737</v>
      </c>
      <c r="E41" s="1177">
        <v>0</v>
      </c>
      <c r="F41" s="1433"/>
      <c r="G41" s="1169"/>
    </row>
    <row r="42" spans="2:7">
      <c r="B42" s="1175" t="s">
        <v>1013</v>
      </c>
      <c r="C42" s="1204" t="s">
        <v>1014</v>
      </c>
      <c r="D42" s="1176" t="s">
        <v>737</v>
      </c>
      <c r="E42" s="1177">
        <v>0</v>
      </c>
      <c r="F42" s="1205"/>
      <c r="G42" s="1169"/>
    </row>
    <row r="43" spans="2:7">
      <c r="B43" s="1170" t="s">
        <v>149</v>
      </c>
      <c r="C43" s="1206" t="s">
        <v>1015</v>
      </c>
      <c r="D43" s="1171" t="s">
        <v>737</v>
      </c>
      <c r="E43" s="1173">
        <v>869.1</v>
      </c>
      <c r="F43" s="1169"/>
      <c r="G43" s="1162"/>
    </row>
    <row r="44" spans="2:7">
      <c r="B44" s="1170" t="s">
        <v>157</v>
      </c>
      <c r="C44" s="1196" t="s">
        <v>1016</v>
      </c>
      <c r="D44" s="1171" t="s">
        <v>737</v>
      </c>
      <c r="E44" s="1173">
        <v>0</v>
      </c>
      <c r="F44" s="1169"/>
      <c r="G44" s="1162"/>
    </row>
    <row r="45" spans="2:7">
      <c r="B45" s="1175" t="s">
        <v>408</v>
      </c>
      <c r="C45" s="1189" t="s">
        <v>1017</v>
      </c>
      <c r="D45" s="1176" t="s">
        <v>927</v>
      </c>
      <c r="E45" s="1186">
        <v>0</v>
      </c>
      <c r="F45" s="1169"/>
      <c r="G45" s="1169"/>
    </row>
    <row r="46" spans="2:7">
      <c r="B46" s="1175" t="s">
        <v>1018</v>
      </c>
      <c r="C46" s="1189" t="s">
        <v>1019</v>
      </c>
      <c r="D46" s="1176" t="s">
        <v>927</v>
      </c>
      <c r="E46" s="1186">
        <v>0</v>
      </c>
      <c r="F46" s="1190"/>
      <c r="G46" s="1190"/>
    </row>
    <row r="47" spans="2:7">
      <c r="B47" s="1175" t="s">
        <v>1020</v>
      </c>
      <c r="C47" s="1207" t="s">
        <v>1021</v>
      </c>
      <c r="D47" s="1208" t="s">
        <v>737</v>
      </c>
      <c r="E47" s="1209">
        <v>0</v>
      </c>
      <c r="F47" s="1210"/>
      <c r="G47" s="1210"/>
    </row>
    <row r="48" spans="2:7">
      <c r="B48" s="1175" t="s">
        <v>610</v>
      </c>
      <c r="C48" s="1189" t="s">
        <v>1022</v>
      </c>
      <c r="D48" s="1176" t="s">
        <v>927</v>
      </c>
      <c r="E48" s="1186">
        <v>0</v>
      </c>
      <c r="F48" s="1190"/>
      <c r="G48" s="1190"/>
    </row>
    <row r="49" spans="2:7">
      <c r="B49" s="1175" t="s">
        <v>1023</v>
      </c>
      <c r="C49" s="1207" t="s">
        <v>1024</v>
      </c>
      <c r="D49" s="1208" t="s">
        <v>737</v>
      </c>
      <c r="E49" s="1209">
        <v>0</v>
      </c>
      <c r="F49" s="1210"/>
      <c r="G49" s="1210"/>
    </row>
    <row r="50" spans="2:7">
      <c r="B50" s="1170" t="s">
        <v>409</v>
      </c>
      <c r="C50" s="1196" t="s">
        <v>1025</v>
      </c>
      <c r="D50" s="1171" t="s">
        <v>927</v>
      </c>
      <c r="E50" s="1197">
        <v>1</v>
      </c>
      <c r="F50" s="1190"/>
      <c r="G50" s="1190"/>
    </row>
    <row r="51" spans="2:7">
      <c r="B51" s="1170" t="s">
        <v>415</v>
      </c>
      <c r="C51" s="1196" t="s">
        <v>1026</v>
      </c>
      <c r="D51" s="1171" t="s">
        <v>927</v>
      </c>
      <c r="E51" s="1197">
        <v>0</v>
      </c>
      <c r="F51" s="1190"/>
      <c r="G51" s="1190"/>
    </row>
    <row r="52" spans="2:7">
      <c r="B52" s="1170" t="s">
        <v>416</v>
      </c>
      <c r="C52" s="1196" t="s">
        <v>1027</v>
      </c>
      <c r="D52" s="1171" t="s">
        <v>927</v>
      </c>
      <c r="E52" s="1197">
        <v>0</v>
      </c>
      <c r="F52" s="1210"/>
      <c r="G52" s="1210"/>
    </row>
    <row r="53" spans="2:7">
      <c r="B53" s="1170" t="s">
        <v>421</v>
      </c>
      <c r="C53" s="1196" t="s">
        <v>1028</v>
      </c>
      <c r="D53" s="1171" t="s">
        <v>927</v>
      </c>
      <c r="E53" s="1197">
        <v>0</v>
      </c>
      <c r="F53" s="1210"/>
      <c r="G53" s="1210"/>
    </row>
    <row r="54" spans="2:7">
      <c r="B54" s="1170" t="s">
        <v>425</v>
      </c>
      <c r="C54" s="1196" t="s">
        <v>1029</v>
      </c>
      <c r="D54" s="1176" t="s">
        <v>927</v>
      </c>
      <c r="E54" s="1186">
        <v>66</v>
      </c>
      <c r="F54" s="1210"/>
      <c r="G54" s="1210"/>
    </row>
    <row r="55" spans="2:7">
      <c r="B55" s="1200" t="s">
        <v>428</v>
      </c>
      <c r="C55" s="1196" t="s">
        <v>1030</v>
      </c>
      <c r="D55" s="1171" t="s">
        <v>927</v>
      </c>
      <c r="E55" s="1197">
        <v>0</v>
      </c>
      <c r="F55" s="1210"/>
      <c r="G55" s="1210"/>
    </row>
    <row r="56" spans="2:7" ht="15.75" thickBot="1">
      <c r="B56" s="1192" t="s">
        <v>443</v>
      </c>
      <c r="C56" s="1193" t="s">
        <v>743</v>
      </c>
      <c r="D56" s="1194" t="s">
        <v>731</v>
      </c>
      <c r="E56" s="1195">
        <v>0</v>
      </c>
      <c r="F56" s="1169"/>
      <c r="G56" s="1169"/>
    </row>
    <row r="57" spans="2:7" ht="15.75" thickBot="1">
      <c r="B57" s="1163"/>
      <c r="C57" s="1159" t="s">
        <v>1031</v>
      </c>
      <c r="D57" s="1159"/>
      <c r="E57" s="1164"/>
      <c r="F57" s="1169"/>
      <c r="G57" s="1169"/>
    </row>
    <row r="58" spans="2:7">
      <c r="B58" s="1175" t="s">
        <v>65</v>
      </c>
      <c r="C58" s="1176" t="s">
        <v>1032</v>
      </c>
      <c r="D58" s="1176" t="s">
        <v>927</v>
      </c>
      <c r="E58" s="1186">
        <v>67</v>
      </c>
      <c r="F58" s="1169"/>
      <c r="G58" s="1169"/>
    </row>
    <row r="59" spans="2:7">
      <c r="B59" s="1175" t="s">
        <v>69</v>
      </c>
      <c r="C59" s="1176" t="s">
        <v>1033</v>
      </c>
      <c r="D59" s="1176" t="s">
        <v>927</v>
      </c>
      <c r="E59" s="1186">
        <v>1</v>
      </c>
      <c r="F59" s="1169"/>
      <c r="G59" s="1169"/>
    </row>
    <row r="60" spans="2:7">
      <c r="B60" s="1175" t="s">
        <v>71</v>
      </c>
      <c r="C60" s="1176" t="s">
        <v>1034</v>
      </c>
      <c r="D60" s="1176" t="s">
        <v>927</v>
      </c>
      <c r="E60" s="1186">
        <v>3</v>
      </c>
      <c r="F60" s="1169"/>
      <c r="G60" s="1169"/>
    </row>
    <row r="61" spans="2:7">
      <c r="B61" s="1170" t="s">
        <v>73</v>
      </c>
      <c r="C61" s="1171" t="s">
        <v>1035</v>
      </c>
      <c r="D61" s="1211" t="s">
        <v>731</v>
      </c>
      <c r="E61" s="1173">
        <v>39.6</v>
      </c>
      <c r="F61" s="1212"/>
      <c r="G61" s="1169"/>
    </row>
    <row r="62" spans="2:7">
      <c r="B62" s="1175" t="s">
        <v>75</v>
      </c>
      <c r="C62" s="1176" t="s">
        <v>1036</v>
      </c>
      <c r="D62" s="1213" t="s">
        <v>1037</v>
      </c>
      <c r="E62" s="1214">
        <f>SUM(E63:E64)</f>
        <v>323.3</v>
      </c>
      <c r="F62" s="1210"/>
      <c r="G62" s="1210"/>
    </row>
    <row r="63" spans="2:7">
      <c r="B63" s="1215" t="s">
        <v>798</v>
      </c>
      <c r="C63" s="1207" t="s">
        <v>1038</v>
      </c>
      <c r="D63" s="1208" t="s">
        <v>1037</v>
      </c>
      <c r="E63" s="1209">
        <v>8</v>
      </c>
      <c r="F63" s="1210"/>
      <c r="G63" s="1210"/>
    </row>
    <row r="64" spans="2:7">
      <c r="B64" s="1215" t="s">
        <v>1039</v>
      </c>
      <c r="C64" s="1207" t="s">
        <v>1040</v>
      </c>
      <c r="D64" s="1208" t="s">
        <v>1037</v>
      </c>
      <c r="E64" s="1209">
        <v>315.3</v>
      </c>
      <c r="F64" s="1169"/>
      <c r="G64" s="1169"/>
    </row>
    <row r="65" spans="2:7">
      <c r="B65" s="1175" t="s">
        <v>460</v>
      </c>
      <c r="C65" s="1176" t="s">
        <v>1041</v>
      </c>
      <c r="D65" s="1176" t="s">
        <v>927</v>
      </c>
      <c r="E65" s="1186">
        <v>6831</v>
      </c>
      <c r="F65" s="1169"/>
      <c r="G65" s="1169"/>
    </row>
    <row r="66" spans="2:7">
      <c r="B66" s="1175" t="s">
        <v>464</v>
      </c>
      <c r="C66" s="1176" t="s">
        <v>1042</v>
      </c>
      <c r="D66" s="1176" t="s">
        <v>927</v>
      </c>
      <c r="E66" s="1186">
        <v>483</v>
      </c>
      <c r="F66" s="1169"/>
      <c r="G66" s="1169"/>
    </row>
    <row r="67" spans="2:7">
      <c r="B67" s="1175" t="s">
        <v>468</v>
      </c>
      <c r="C67" s="1176" t="s">
        <v>1043</v>
      </c>
      <c r="D67" s="1176" t="s">
        <v>927</v>
      </c>
      <c r="E67" s="1186">
        <v>0</v>
      </c>
      <c r="F67" s="1169"/>
      <c r="G67" s="1169"/>
    </row>
    <row r="68" spans="2:7">
      <c r="B68" s="1175" t="s">
        <v>472</v>
      </c>
      <c r="C68" s="1176" t="s">
        <v>1044</v>
      </c>
      <c r="D68" s="1176" t="s">
        <v>927</v>
      </c>
      <c r="E68" s="1186">
        <v>363</v>
      </c>
      <c r="F68" s="1212"/>
      <c r="G68" s="1169"/>
    </row>
    <row r="69" spans="2:7">
      <c r="B69" s="1175" t="s">
        <v>488</v>
      </c>
      <c r="C69" s="1176" t="s">
        <v>1045</v>
      </c>
      <c r="D69" s="1176" t="s">
        <v>927</v>
      </c>
      <c r="E69" s="1216">
        <f>SUM(E70:E72)</f>
        <v>9021</v>
      </c>
      <c r="F69" s="1210"/>
      <c r="G69" s="1210"/>
    </row>
    <row r="70" spans="2:7">
      <c r="B70" s="1215" t="s">
        <v>1046</v>
      </c>
      <c r="C70" s="1207" t="s">
        <v>1047</v>
      </c>
      <c r="D70" s="1208" t="s">
        <v>927</v>
      </c>
      <c r="E70" s="1217">
        <v>8279</v>
      </c>
      <c r="F70" s="1210"/>
      <c r="G70" s="1210"/>
    </row>
    <row r="71" spans="2:7">
      <c r="B71" s="1215" t="s">
        <v>1048</v>
      </c>
      <c r="C71" s="1207" t="s">
        <v>1049</v>
      </c>
      <c r="D71" s="1208" t="s">
        <v>927</v>
      </c>
      <c r="E71" s="1217">
        <v>8</v>
      </c>
      <c r="F71" s="1210"/>
      <c r="G71" s="1210"/>
    </row>
    <row r="72" spans="2:7">
      <c r="B72" s="1215" t="s">
        <v>1050</v>
      </c>
      <c r="C72" s="1207" t="s">
        <v>1051</v>
      </c>
      <c r="D72" s="1208" t="s">
        <v>927</v>
      </c>
      <c r="E72" s="1217">
        <v>734</v>
      </c>
      <c r="F72" s="1169"/>
      <c r="G72" s="1169"/>
    </row>
    <row r="73" spans="2:7">
      <c r="B73" s="1175" t="s">
        <v>489</v>
      </c>
      <c r="C73" s="1176" t="s">
        <v>1052</v>
      </c>
      <c r="D73" s="1176" t="s">
        <v>927</v>
      </c>
      <c r="E73" s="1186">
        <v>6911</v>
      </c>
      <c r="F73" s="1169"/>
      <c r="G73" s="1169"/>
    </row>
    <row r="74" spans="2:7" ht="15.75" thickBot="1">
      <c r="B74" s="1179" t="s">
        <v>625</v>
      </c>
      <c r="C74" s="1180" t="s">
        <v>1053</v>
      </c>
      <c r="D74" s="1180" t="s">
        <v>927</v>
      </c>
      <c r="E74" s="1218">
        <v>268</v>
      </c>
      <c r="F74" s="1219"/>
      <c r="G74" s="1219"/>
    </row>
    <row r="75" spans="2:7" ht="15.75" thickBot="1">
      <c r="B75" s="1163"/>
      <c r="C75" s="1159" t="s">
        <v>1054</v>
      </c>
      <c r="D75" s="1159"/>
      <c r="E75" s="1164"/>
      <c r="F75" s="1174"/>
      <c r="G75" s="1174"/>
    </row>
    <row r="76" spans="2:7">
      <c r="B76" s="1175" t="s">
        <v>491</v>
      </c>
      <c r="C76" s="1176" t="s">
        <v>1055</v>
      </c>
      <c r="D76" s="1176" t="s">
        <v>927</v>
      </c>
      <c r="E76" s="1186">
        <v>19</v>
      </c>
      <c r="F76" s="1174"/>
      <c r="G76" s="1174"/>
    </row>
    <row r="77" spans="2:7">
      <c r="B77" s="1175" t="s">
        <v>167</v>
      </c>
      <c r="C77" s="1176" t="s">
        <v>1056</v>
      </c>
      <c r="D77" s="1176" t="s">
        <v>927</v>
      </c>
      <c r="E77" s="1186">
        <v>72</v>
      </c>
      <c r="F77" s="1174"/>
      <c r="G77" s="1174"/>
    </row>
    <row r="78" spans="2:7">
      <c r="B78" s="1175" t="s">
        <v>169</v>
      </c>
      <c r="C78" s="1176" t="s">
        <v>1057</v>
      </c>
      <c r="D78" s="1176" t="s">
        <v>927</v>
      </c>
      <c r="E78" s="1186">
        <v>124</v>
      </c>
      <c r="F78" s="1174"/>
      <c r="G78" s="1174"/>
    </row>
    <row r="79" spans="2:7">
      <c r="B79" s="1170" t="s">
        <v>171</v>
      </c>
      <c r="C79" s="1171" t="s">
        <v>1058</v>
      </c>
      <c r="D79" s="1211" t="s">
        <v>731</v>
      </c>
      <c r="E79" s="1173">
        <v>10.199999999999999</v>
      </c>
      <c r="F79" s="1174"/>
      <c r="G79" s="1174"/>
    </row>
    <row r="80" spans="2:7">
      <c r="B80" s="1175" t="s">
        <v>173</v>
      </c>
      <c r="C80" s="1176" t="s">
        <v>1059</v>
      </c>
      <c r="D80" s="1176" t="s">
        <v>1037</v>
      </c>
      <c r="E80" s="1177">
        <v>180.9</v>
      </c>
      <c r="F80" s="1220"/>
      <c r="G80" s="1220"/>
    </row>
    <row r="81" spans="2:7">
      <c r="B81" s="1215" t="s">
        <v>642</v>
      </c>
      <c r="C81" s="1207" t="s">
        <v>1060</v>
      </c>
      <c r="D81" s="1208" t="s">
        <v>1037</v>
      </c>
      <c r="E81" s="1209">
        <v>29.7</v>
      </c>
      <c r="F81" s="1174"/>
      <c r="G81" s="1174"/>
    </row>
    <row r="82" spans="2:7">
      <c r="B82" s="1175" t="s">
        <v>175</v>
      </c>
      <c r="C82" s="1176" t="s">
        <v>1061</v>
      </c>
      <c r="D82" s="1176" t="s">
        <v>927</v>
      </c>
      <c r="E82" s="1186">
        <v>4727</v>
      </c>
      <c r="F82" s="1174"/>
      <c r="G82" s="1174"/>
    </row>
    <row r="83" spans="2:7">
      <c r="B83" s="1175" t="s">
        <v>177</v>
      </c>
      <c r="C83" s="1176" t="s">
        <v>1062</v>
      </c>
      <c r="D83" s="1176" t="s">
        <v>927</v>
      </c>
      <c r="E83" s="1216">
        <f>SUM(E84:E86)</f>
        <v>9269</v>
      </c>
      <c r="F83" s="1174"/>
      <c r="G83" s="1174"/>
    </row>
    <row r="84" spans="2:7">
      <c r="B84" s="1215" t="s">
        <v>507</v>
      </c>
      <c r="C84" s="1207" t="s">
        <v>1063</v>
      </c>
      <c r="D84" s="1208" t="s">
        <v>927</v>
      </c>
      <c r="E84" s="1217">
        <v>5135</v>
      </c>
      <c r="F84" s="1220"/>
      <c r="G84" s="1220"/>
    </row>
    <row r="85" spans="2:7">
      <c r="B85" s="1215" t="s">
        <v>508</v>
      </c>
      <c r="C85" s="1207" t="s">
        <v>1064</v>
      </c>
      <c r="D85" s="1208" t="s">
        <v>927</v>
      </c>
      <c r="E85" s="1217">
        <v>3900</v>
      </c>
      <c r="F85" s="1220"/>
      <c r="G85" s="1220"/>
    </row>
    <row r="86" spans="2:7">
      <c r="B86" s="1215" t="s">
        <v>509</v>
      </c>
      <c r="C86" s="1207" t="s">
        <v>1065</v>
      </c>
      <c r="D86" s="1208" t="s">
        <v>927</v>
      </c>
      <c r="E86" s="1217">
        <v>234</v>
      </c>
      <c r="F86" s="1174"/>
      <c r="G86" s="1174"/>
    </row>
    <row r="87" spans="2:7" ht="15.75" thickBot="1">
      <c r="B87" s="1179" t="s">
        <v>179</v>
      </c>
      <c r="C87" s="1180" t="s">
        <v>1066</v>
      </c>
      <c r="D87" s="1180" t="s">
        <v>927</v>
      </c>
      <c r="E87" s="1218">
        <v>281</v>
      </c>
      <c r="F87" s="1174"/>
      <c r="G87" s="1174"/>
    </row>
    <row r="88" spans="2:7" ht="15.75" thickBot="1">
      <c r="B88" s="1163"/>
      <c r="C88" s="1159" t="s">
        <v>1067</v>
      </c>
      <c r="D88" s="1159"/>
      <c r="E88" s="1164"/>
      <c r="F88" s="1174"/>
      <c r="G88" s="1174"/>
    </row>
    <row r="89" spans="2:7">
      <c r="B89" s="1175" t="s">
        <v>208</v>
      </c>
      <c r="C89" s="1176" t="s">
        <v>1068</v>
      </c>
      <c r="D89" s="1176" t="s">
        <v>927</v>
      </c>
      <c r="E89" s="1186">
        <v>43</v>
      </c>
      <c r="F89" s="1174"/>
      <c r="G89" s="1174"/>
    </row>
    <row r="90" spans="2:7">
      <c r="B90" s="1175" t="s">
        <v>210</v>
      </c>
      <c r="C90" s="1176" t="s">
        <v>1069</v>
      </c>
      <c r="D90" s="1176" t="s">
        <v>927</v>
      </c>
      <c r="E90" s="1186">
        <v>1</v>
      </c>
      <c r="F90" s="1174"/>
      <c r="G90" s="1174"/>
    </row>
    <row r="91" spans="2:7">
      <c r="B91" s="1175" t="s">
        <v>218</v>
      </c>
      <c r="C91" s="1176" t="s">
        <v>1070</v>
      </c>
      <c r="D91" s="1176" t="s">
        <v>927</v>
      </c>
      <c r="E91" s="1186">
        <v>2</v>
      </c>
      <c r="F91" s="1174"/>
      <c r="G91" s="1174"/>
    </row>
    <row r="92" spans="2:7">
      <c r="B92" s="1175" t="s">
        <v>649</v>
      </c>
      <c r="C92" s="1171" t="s">
        <v>1071</v>
      </c>
      <c r="D92" s="1211" t="s">
        <v>731</v>
      </c>
      <c r="E92" s="1197">
        <v>4</v>
      </c>
      <c r="F92" s="1174"/>
      <c r="G92" s="1174"/>
    </row>
    <row r="93" spans="2:7">
      <c r="B93" s="1175" t="s">
        <v>651</v>
      </c>
      <c r="C93" s="1176" t="s">
        <v>1072</v>
      </c>
      <c r="D93" s="1176" t="s">
        <v>1037</v>
      </c>
      <c r="E93" s="1177">
        <v>75.5</v>
      </c>
      <c r="F93" s="1174"/>
      <c r="G93" s="1174"/>
    </row>
    <row r="94" spans="2:7">
      <c r="B94" s="1215" t="s">
        <v>1073</v>
      </c>
      <c r="C94" s="1207" t="s">
        <v>1060</v>
      </c>
      <c r="D94" s="1208" t="s">
        <v>1037</v>
      </c>
      <c r="E94" s="1217">
        <v>0</v>
      </c>
      <c r="F94" s="1174"/>
      <c r="G94" s="1174"/>
    </row>
    <row r="95" spans="2:7">
      <c r="B95" s="1175" t="s">
        <v>653</v>
      </c>
      <c r="C95" s="1176" t="s">
        <v>1074</v>
      </c>
      <c r="D95" s="1176" t="s">
        <v>927</v>
      </c>
      <c r="E95" s="1186">
        <v>43</v>
      </c>
      <c r="F95" s="1174"/>
      <c r="G95" s="1174"/>
    </row>
    <row r="96" spans="2:7">
      <c r="B96" s="1175" t="s">
        <v>655</v>
      </c>
      <c r="C96" s="1176" t="s">
        <v>1075</v>
      </c>
      <c r="D96" s="1176" t="s">
        <v>927</v>
      </c>
      <c r="E96" s="1186">
        <v>46</v>
      </c>
      <c r="F96" s="1174"/>
      <c r="G96" s="1174"/>
    </row>
    <row r="97" spans="2:7" ht="15.75" thickBot="1">
      <c r="B97" s="1179" t="s">
        <v>657</v>
      </c>
      <c r="C97" s="1180" t="s">
        <v>1076</v>
      </c>
      <c r="D97" s="1180" t="s">
        <v>927</v>
      </c>
      <c r="E97" s="1218">
        <v>36</v>
      </c>
      <c r="F97" s="1219"/>
      <c r="G97" s="1219"/>
    </row>
    <row r="98" spans="2:7" ht="15.75" thickBot="1">
      <c r="B98" s="1163"/>
      <c r="C98" s="1159" t="s">
        <v>1077</v>
      </c>
      <c r="D98" s="1159"/>
      <c r="E98" s="1164"/>
      <c r="F98" s="1221"/>
      <c r="G98" s="1221"/>
    </row>
    <row r="99" spans="2:7">
      <c r="B99" s="1175" t="s">
        <v>83</v>
      </c>
      <c r="C99" s="1222" t="s">
        <v>1078</v>
      </c>
      <c r="D99" s="1213" t="s">
        <v>927</v>
      </c>
      <c r="E99" s="1223">
        <v>0</v>
      </c>
      <c r="F99" s="1221"/>
      <c r="G99" s="1221"/>
    </row>
    <row r="100" spans="2:7">
      <c r="B100" s="1175" t="s">
        <v>85</v>
      </c>
      <c r="C100" s="1224" t="s">
        <v>1079</v>
      </c>
      <c r="D100" s="1176" t="s">
        <v>1080</v>
      </c>
      <c r="E100" s="1186">
        <v>0</v>
      </c>
      <c r="F100" s="1174"/>
      <c r="G100" s="1174"/>
    </row>
    <row r="101" spans="2:7">
      <c r="B101" s="1175" t="s">
        <v>223</v>
      </c>
      <c r="C101" s="1225" t="s">
        <v>1081</v>
      </c>
      <c r="D101" s="1176" t="s">
        <v>737</v>
      </c>
      <c r="E101" s="1177">
        <v>0</v>
      </c>
      <c r="F101" s="1221"/>
      <c r="G101" s="1221"/>
    </row>
    <row r="102" spans="2:7">
      <c r="B102" s="1175" t="s">
        <v>1082</v>
      </c>
      <c r="C102" s="1224" t="s">
        <v>1083</v>
      </c>
      <c r="D102" s="1176" t="s">
        <v>927</v>
      </c>
      <c r="E102" s="1186">
        <v>0</v>
      </c>
      <c r="F102" s="1174"/>
      <c r="G102" s="1174"/>
    </row>
    <row r="103" spans="2:7">
      <c r="B103" s="1175" t="s">
        <v>1084</v>
      </c>
      <c r="C103" s="1225" t="s">
        <v>1085</v>
      </c>
      <c r="D103" s="1176" t="s">
        <v>737</v>
      </c>
      <c r="E103" s="1177">
        <v>0</v>
      </c>
      <c r="F103" s="1221"/>
      <c r="G103" s="1221"/>
    </row>
    <row r="104" spans="2:7">
      <c r="B104" s="1175" t="s">
        <v>1086</v>
      </c>
      <c r="C104" s="1224" t="s">
        <v>1087</v>
      </c>
      <c r="D104" s="1176" t="s">
        <v>927</v>
      </c>
      <c r="E104" s="1186">
        <v>9</v>
      </c>
      <c r="F104" s="1174"/>
      <c r="G104" s="1174"/>
    </row>
    <row r="105" spans="2:7">
      <c r="B105" s="1175" t="s">
        <v>1088</v>
      </c>
      <c r="C105" s="1225" t="s">
        <v>1089</v>
      </c>
      <c r="D105" s="1176" t="s">
        <v>737</v>
      </c>
      <c r="E105" s="1177">
        <v>299.60000000000002</v>
      </c>
      <c r="F105" s="1221"/>
      <c r="G105" s="1221"/>
    </row>
    <row r="106" spans="2:7">
      <c r="B106" s="1175" t="s">
        <v>1090</v>
      </c>
      <c r="C106" s="1224" t="s">
        <v>1091</v>
      </c>
      <c r="D106" s="1176" t="s">
        <v>927</v>
      </c>
      <c r="E106" s="1186">
        <v>2</v>
      </c>
      <c r="F106" s="1226"/>
      <c r="G106" s="1221"/>
    </row>
    <row r="107" spans="2:7">
      <c r="B107" s="1175" t="s">
        <v>1092</v>
      </c>
      <c r="C107" s="1225" t="s">
        <v>1093</v>
      </c>
      <c r="D107" s="1176" t="s">
        <v>737</v>
      </c>
      <c r="E107" s="1177">
        <v>1189.7</v>
      </c>
      <c r="F107" s="1199"/>
      <c r="G107" s="1199"/>
    </row>
    <row r="108" spans="2:7">
      <c r="B108" s="1175" t="s">
        <v>1094</v>
      </c>
      <c r="C108" s="1225" t="s">
        <v>1095</v>
      </c>
      <c r="D108" s="1176" t="s">
        <v>927</v>
      </c>
      <c r="E108" s="1186">
        <v>53</v>
      </c>
      <c r="F108" s="1220"/>
      <c r="G108" s="1220"/>
    </row>
    <row r="109" spans="2:7">
      <c r="B109" s="1175" t="s">
        <v>1096</v>
      </c>
      <c r="C109" s="1225" t="s">
        <v>1097</v>
      </c>
      <c r="D109" s="1176" t="s">
        <v>927</v>
      </c>
      <c r="E109" s="1186">
        <v>28</v>
      </c>
      <c r="F109" s="1220"/>
      <c r="G109" s="1220"/>
    </row>
    <row r="110" spans="2:7">
      <c r="B110" s="1227" t="s">
        <v>1098</v>
      </c>
      <c r="C110" s="1228" t="s">
        <v>1099</v>
      </c>
      <c r="D110" s="1178" t="s">
        <v>927</v>
      </c>
      <c r="E110" s="1229">
        <v>31</v>
      </c>
      <c r="F110" s="1174"/>
      <c r="G110" s="1174"/>
    </row>
    <row r="111" spans="2:7">
      <c r="B111" s="1230" t="s">
        <v>1100</v>
      </c>
      <c r="C111" s="1231" t="s">
        <v>1101</v>
      </c>
      <c r="D111" s="1232"/>
      <c r="E111" s="1233"/>
      <c r="F111" s="1221"/>
      <c r="G111" s="1221"/>
    </row>
    <row r="112" spans="2:7">
      <c r="B112" s="1234" t="s">
        <v>1102</v>
      </c>
      <c r="C112" s="1222" t="s">
        <v>1103</v>
      </c>
      <c r="D112" s="1213" t="s">
        <v>976</v>
      </c>
      <c r="E112" s="1235">
        <v>231.7</v>
      </c>
      <c r="F112" s="1221"/>
      <c r="G112" s="1221"/>
    </row>
    <row r="113" spans="2:7">
      <c r="B113" s="1175" t="s">
        <v>1104</v>
      </c>
      <c r="C113" s="1224" t="s">
        <v>1105</v>
      </c>
      <c r="D113" s="1176" t="s">
        <v>976</v>
      </c>
      <c r="E113" s="1177">
        <v>311.10000000000002</v>
      </c>
      <c r="F113" s="1221"/>
      <c r="G113" s="1221"/>
    </row>
    <row r="114" spans="2:7">
      <c r="B114" s="1175" t="s">
        <v>1106</v>
      </c>
      <c r="C114" s="1224" t="s">
        <v>1107</v>
      </c>
      <c r="D114" s="1176" t="s">
        <v>976</v>
      </c>
      <c r="E114" s="1177">
        <v>0</v>
      </c>
      <c r="F114" s="1221"/>
      <c r="G114" s="1221"/>
    </row>
    <row r="115" spans="2:7">
      <c r="B115" s="1175" t="s">
        <v>1108</v>
      </c>
      <c r="C115" s="1224" t="s">
        <v>1109</v>
      </c>
      <c r="D115" s="1176" t="s">
        <v>976</v>
      </c>
      <c r="E115" s="1177">
        <v>49.5</v>
      </c>
      <c r="F115" s="1221"/>
      <c r="G115" s="1221"/>
    </row>
    <row r="116" spans="2:7">
      <c r="B116" s="1227" t="s">
        <v>1110</v>
      </c>
      <c r="C116" s="1236" t="s">
        <v>1111</v>
      </c>
      <c r="D116" s="1178" t="s">
        <v>976</v>
      </c>
      <c r="E116" s="1237">
        <v>5.6</v>
      </c>
      <c r="F116" s="1174"/>
      <c r="G116" s="1174"/>
    </row>
    <row r="117" spans="2:7">
      <c r="B117" s="1230" t="s">
        <v>1112</v>
      </c>
      <c r="C117" s="1231" t="s">
        <v>1113</v>
      </c>
      <c r="D117" s="1232"/>
      <c r="E117" s="1238"/>
      <c r="F117" s="1221"/>
      <c r="G117" s="1221"/>
    </row>
    <row r="118" spans="2:7">
      <c r="B118" s="1234" t="s">
        <v>1114</v>
      </c>
      <c r="C118" s="1222" t="s">
        <v>1115</v>
      </c>
      <c r="D118" s="1213" t="s">
        <v>976</v>
      </c>
      <c r="E118" s="1235">
        <v>5</v>
      </c>
      <c r="F118" s="1221"/>
      <c r="G118" s="1221"/>
    </row>
    <row r="119" spans="2:7">
      <c r="B119" s="1175" t="s">
        <v>1116</v>
      </c>
      <c r="C119" s="1224" t="s">
        <v>1105</v>
      </c>
      <c r="D119" s="1176" t="s">
        <v>976</v>
      </c>
      <c r="E119" s="1177">
        <v>26.9</v>
      </c>
      <c r="F119" s="1221"/>
      <c r="G119" s="1221"/>
    </row>
    <row r="120" spans="2:7">
      <c r="B120" s="1175" t="s">
        <v>1117</v>
      </c>
      <c r="C120" s="1224" t="s">
        <v>1107</v>
      </c>
      <c r="D120" s="1176" t="s">
        <v>976</v>
      </c>
      <c r="E120" s="1177">
        <v>0</v>
      </c>
      <c r="F120" s="1221"/>
      <c r="G120" s="1221"/>
    </row>
    <row r="121" spans="2:7">
      <c r="B121" s="1175" t="s">
        <v>1118</v>
      </c>
      <c r="C121" s="1224" t="s">
        <v>1109</v>
      </c>
      <c r="D121" s="1176" t="s">
        <v>976</v>
      </c>
      <c r="E121" s="1177">
        <v>9.6</v>
      </c>
      <c r="F121" s="1221"/>
      <c r="G121" s="1221"/>
    </row>
    <row r="122" spans="2:7">
      <c r="B122" s="1175" t="s">
        <v>1119</v>
      </c>
      <c r="C122" s="1224" t="s">
        <v>1111</v>
      </c>
      <c r="D122" s="1176" t="s">
        <v>976</v>
      </c>
      <c r="E122" s="1177">
        <v>1.7</v>
      </c>
      <c r="F122" s="1174"/>
      <c r="G122" s="1174"/>
    </row>
    <row r="123" spans="2:7">
      <c r="B123" s="1239" t="s">
        <v>1120</v>
      </c>
      <c r="C123" s="1231" t="s">
        <v>1121</v>
      </c>
      <c r="D123" s="1232"/>
      <c r="E123" s="1240"/>
      <c r="F123" s="1174"/>
      <c r="G123" s="1174"/>
    </row>
    <row r="124" spans="2:7">
      <c r="B124" s="1175" t="s">
        <v>1122</v>
      </c>
      <c r="C124" s="1224" t="s">
        <v>1123</v>
      </c>
      <c r="D124" s="1176" t="s">
        <v>759</v>
      </c>
      <c r="E124" s="1177">
        <v>0</v>
      </c>
      <c r="F124" s="1174"/>
      <c r="G124" s="1174"/>
    </row>
    <row r="125" spans="2:7">
      <c r="B125" s="1175" t="s">
        <v>1124</v>
      </c>
      <c r="C125" s="1224" t="s">
        <v>1125</v>
      </c>
      <c r="D125" s="1176" t="s">
        <v>759</v>
      </c>
      <c r="E125" s="1177">
        <v>0</v>
      </c>
      <c r="F125" s="1174"/>
      <c r="G125" s="1174"/>
    </row>
    <row r="126" spans="2:7">
      <c r="B126" s="1175" t="s">
        <v>1126</v>
      </c>
      <c r="C126" s="1224" t="s">
        <v>1127</v>
      </c>
      <c r="D126" s="1176" t="s">
        <v>759</v>
      </c>
      <c r="E126" s="1177">
        <v>0</v>
      </c>
      <c r="F126" s="1174"/>
      <c r="G126" s="1174"/>
    </row>
    <row r="127" spans="2:7">
      <c r="B127" s="1227" t="s">
        <v>1128</v>
      </c>
      <c r="C127" s="1236" t="s">
        <v>1129</v>
      </c>
      <c r="D127" s="1178" t="s">
        <v>759</v>
      </c>
      <c r="E127" s="1237">
        <v>0</v>
      </c>
      <c r="F127" s="1174"/>
      <c r="G127" s="1174"/>
    </row>
    <row r="128" spans="2:7">
      <c r="B128" s="1230" t="s">
        <v>1130</v>
      </c>
      <c r="C128" s="1231" t="s">
        <v>1131</v>
      </c>
      <c r="D128" s="1232"/>
      <c r="E128" s="1233"/>
      <c r="F128" s="1174"/>
      <c r="G128" s="1174"/>
    </row>
    <row r="129" spans="2:7">
      <c r="B129" s="1227" t="s">
        <v>1132</v>
      </c>
      <c r="C129" s="1236" t="s">
        <v>1103</v>
      </c>
      <c r="D129" s="1178" t="s">
        <v>759</v>
      </c>
      <c r="E129" s="1241">
        <f>(E112-E118)*E130/1000</f>
        <v>337.62430999999998</v>
      </c>
      <c r="F129" s="1174"/>
      <c r="G129" s="1174"/>
    </row>
    <row r="130" spans="2:7" ht="15.75" thickBot="1">
      <c r="B130" s="1242" t="s">
        <v>1133</v>
      </c>
      <c r="C130" s="1243" t="s">
        <v>1134</v>
      </c>
      <c r="D130" s="1180" t="s">
        <v>737</v>
      </c>
      <c r="E130" s="1244">
        <f>VAS077_F_Isvalytasbuiti1AtaskaitinisLaikotarpis</f>
        <v>1489.3</v>
      </c>
      <c r="F130" s="1174"/>
      <c r="G130" s="1174"/>
    </row>
    <row r="131" spans="2:7" ht="15.75" thickBot="1">
      <c r="B131" s="1163"/>
      <c r="C131" s="1159" t="s">
        <v>1135</v>
      </c>
      <c r="D131" s="1159"/>
      <c r="E131" s="1164"/>
      <c r="F131" s="1174"/>
      <c r="G131" s="1174"/>
    </row>
    <row r="132" spans="2:7">
      <c r="B132" s="1245" t="s">
        <v>1136</v>
      </c>
      <c r="C132" s="1246" t="s">
        <v>1137</v>
      </c>
      <c r="D132" s="1176" t="s">
        <v>737</v>
      </c>
      <c r="E132" s="1247">
        <v>0</v>
      </c>
      <c r="F132" s="1174"/>
      <c r="G132" s="1174"/>
    </row>
    <row r="133" spans="2:7">
      <c r="B133" s="1175" t="s">
        <v>1138</v>
      </c>
      <c r="C133" s="1225" t="s">
        <v>1139</v>
      </c>
      <c r="D133" s="1176" t="s">
        <v>927</v>
      </c>
      <c r="E133" s="1186">
        <v>0</v>
      </c>
      <c r="F133" s="1174"/>
      <c r="G133" s="1174"/>
    </row>
    <row r="134" spans="2:7">
      <c r="B134" s="1248" t="s">
        <v>1140</v>
      </c>
      <c r="C134" s="1249" t="s">
        <v>1141</v>
      </c>
      <c r="D134" s="1250" t="s">
        <v>927</v>
      </c>
      <c r="E134" s="1229">
        <v>0</v>
      </c>
      <c r="F134" s="1174"/>
      <c r="G134" s="1174"/>
    </row>
    <row r="135" spans="2:7">
      <c r="B135" s="1230" t="s">
        <v>1142</v>
      </c>
      <c r="C135" s="1231" t="s">
        <v>1143</v>
      </c>
      <c r="D135" s="1232"/>
      <c r="E135" s="1233"/>
      <c r="F135" s="1174"/>
      <c r="G135" s="1174"/>
    </row>
    <row r="136" spans="2:7">
      <c r="B136" s="1234" t="s">
        <v>1144</v>
      </c>
      <c r="C136" s="1222" t="s">
        <v>1103</v>
      </c>
      <c r="D136" s="1213" t="s">
        <v>976</v>
      </c>
      <c r="E136" s="1235">
        <v>0</v>
      </c>
      <c r="F136" s="1174"/>
      <c r="G136" s="1174"/>
    </row>
    <row r="137" spans="2:7">
      <c r="B137" s="1175" t="s">
        <v>1145</v>
      </c>
      <c r="C137" s="1224" t="s">
        <v>1105</v>
      </c>
      <c r="D137" s="1176" t="s">
        <v>976</v>
      </c>
      <c r="E137" s="1177">
        <v>0</v>
      </c>
      <c r="F137" s="1174"/>
      <c r="G137" s="1174"/>
    </row>
    <row r="138" spans="2:7">
      <c r="B138" s="1175" t="s">
        <v>1146</v>
      </c>
      <c r="C138" s="1224" t="s">
        <v>1147</v>
      </c>
      <c r="D138" s="1176" t="s">
        <v>976</v>
      </c>
      <c r="E138" s="1177">
        <v>0</v>
      </c>
      <c r="F138" s="1174"/>
      <c r="G138" s="1174"/>
    </row>
    <row r="139" spans="2:7">
      <c r="B139" s="1230" t="s">
        <v>1148</v>
      </c>
      <c r="C139" s="1231" t="s">
        <v>1149</v>
      </c>
      <c r="D139" s="1232"/>
      <c r="E139" s="1238"/>
      <c r="F139" s="1174"/>
      <c r="G139" s="1174"/>
    </row>
    <row r="140" spans="2:7">
      <c r="B140" s="1234" t="s">
        <v>1150</v>
      </c>
      <c r="C140" s="1222" t="s">
        <v>1115</v>
      </c>
      <c r="D140" s="1213" t="s">
        <v>976</v>
      </c>
      <c r="E140" s="1235">
        <v>0</v>
      </c>
      <c r="F140" s="1174"/>
      <c r="G140" s="1174"/>
    </row>
    <row r="141" spans="2:7">
      <c r="B141" s="1175" t="s">
        <v>1151</v>
      </c>
      <c r="C141" s="1224" t="s">
        <v>1105</v>
      </c>
      <c r="D141" s="1176" t="s">
        <v>976</v>
      </c>
      <c r="E141" s="1177">
        <v>0</v>
      </c>
      <c r="F141" s="1174"/>
      <c r="G141" s="1174"/>
    </row>
    <row r="142" spans="2:7">
      <c r="B142" s="1227" t="s">
        <v>1152</v>
      </c>
      <c r="C142" s="1236" t="s">
        <v>1147</v>
      </c>
      <c r="D142" s="1178" t="s">
        <v>976</v>
      </c>
      <c r="E142" s="1237">
        <v>0</v>
      </c>
      <c r="F142" s="1174"/>
      <c r="G142" s="1174"/>
    </row>
    <row r="143" spans="2:7">
      <c r="B143" s="1230" t="s">
        <v>1153</v>
      </c>
      <c r="C143" s="1231" t="s">
        <v>1131</v>
      </c>
      <c r="D143" s="1231"/>
      <c r="E143" s="1233"/>
      <c r="F143" s="1174"/>
      <c r="G143" s="1174"/>
    </row>
    <row r="144" spans="2:7" ht="15.75" thickBot="1">
      <c r="B144" s="1179" t="s">
        <v>1154</v>
      </c>
      <c r="C144" s="1224" t="s">
        <v>1103</v>
      </c>
      <c r="D144" s="1176" t="s">
        <v>759</v>
      </c>
      <c r="E144" s="1214">
        <f>(E136-E140)*E132/1000</f>
        <v>0</v>
      </c>
      <c r="F144" s="1219"/>
      <c r="G144" s="1219"/>
    </row>
    <row r="145" spans="2:7" ht="15.75" thickBot="1">
      <c r="B145" s="1163"/>
      <c r="C145" s="1159" t="s">
        <v>1155</v>
      </c>
      <c r="D145" s="1159"/>
      <c r="E145" s="1164"/>
      <c r="F145" s="1219"/>
      <c r="G145" s="1219"/>
    </row>
    <row r="146" spans="2:7">
      <c r="B146" s="1245" t="s">
        <v>9</v>
      </c>
      <c r="C146" s="1251" t="s">
        <v>1156</v>
      </c>
      <c r="D146" s="1176" t="s">
        <v>737</v>
      </c>
      <c r="E146" s="1247">
        <v>25.3</v>
      </c>
      <c r="F146" s="1219"/>
      <c r="G146" s="1219"/>
    </row>
    <row r="147" spans="2:7">
      <c r="B147" s="1175" t="s">
        <v>1157</v>
      </c>
      <c r="C147" s="1252" t="s">
        <v>1158</v>
      </c>
      <c r="D147" s="1253" t="s">
        <v>908</v>
      </c>
      <c r="E147" s="1254">
        <v>0.98</v>
      </c>
      <c r="F147" s="1219"/>
      <c r="G147" s="1219"/>
    </row>
    <row r="148" spans="2:7">
      <c r="B148" s="1175" t="s">
        <v>1159</v>
      </c>
      <c r="C148" s="1252" t="s">
        <v>1160</v>
      </c>
      <c r="D148" s="1176" t="s">
        <v>1161</v>
      </c>
      <c r="E148" s="1177">
        <v>0.5</v>
      </c>
      <c r="F148" s="1219"/>
      <c r="G148" s="1219"/>
    </row>
    <row r="149" spans="2:7" ht="15.75" thickBot="1">
      <c r="B149" s="1255" t="s">
        <v>1162</v>
      </c>
      <c r="C149" s="1256" t="s">
        <v>1163</v>
      </c>
      <c r="D149" s="1257" t="s">
        <v>927</v>
      </c>
      <c r="E149" s="1258">
        <v>2</v>
      </c>
      <c r="F149" s="1219"/>
      <c r="G149" s="1219"/>
    </row>
    <row r="150" spans="2:7">
      <c r="B150" s="1259" t="s">
        <v>1164</v>
      </c>
      <c r="C150" s="1260" t="s">
        <v>1165</v>
      </c>
      <c r="D150" s="1260"/>
      <c r="E150" s="1261"/>
      <c r="F150" s="1174"/>
      <c r="G150" s="1174"/>
    </row>
    <row r="151" spans="2:7">
      <c r="B151" s="1234" t="s">
        <v>1166</v>
      </c>
      <c r="C151" s="1262" t="s">
        <v>1167</v>
      </c>
      <c r="D151" s="1176" t="s">
        <v>737</v>
      </c>
      <c r="E151" s="1177">
        <v>25.3</v>
      </c>
      <c r="F151" s="1220"/>
      <c r="G151" s="1220"/>
    </row>
    <row r="152" spans="2:7">
      <c r="B152" s="1175" t="s">
        <v>1168</v>
      </c>
      <c r="C152" s="1252" t="s">
        <v>1169</v>
      </c>
      <c r="D152" s="1253" t="s">
        <v>908</v>
      </c>
      <c r="E152" s="1254">
        <v>0.86</v>
      </c>
      <c r="F152" s="1174"/>
      <c r="G152" s="1174"/>
    </row>
    <row r="153" spans="2:7">
      <c r="B153" s="1234" t="s">
        <v>1170</v>
      </c>
      <c r="C153" s="1263" t="s">
        <v>1171</v>
      </c>
      <c r="D153" s="1257" t="s">
        <v>1161</v>
      </c>
      <c r="E153" s="1177">
        <v>0.5</v>
      </c>
      <c r="F153" s="1174"/>
      <c r="G153" s="1174"/>
    </row>
    <row r="154" spans="2:7" ht="15.75" thickBot="1">
      <c r="B154" s="1227" t="s">
        <v>1172</v>
      </c>
      <c r="C154" s="1264" t="s">
        <v>1173</v>
      </c>
      <c r="D154" s="1178" t="s">
        <v>927</v>
      </c>
      <c r="E154" s="1229">
        <v>2</v>
      </c>
      <c r="F154" s="1174"/>
      <c r="G154" s="1174"/>
    </row>
    <row r="155" spans="2:7">
      <c r="B155" s="1259" t="s">
        <v>1174</v>
      </c>
      <c r="C155" s="1260" t="s">
        <v>1175</v>
      </c>
      <c r="D155" s="1260"/>
      <c r="E155" s="1265"/>
      <c r="F155" s="1174"/>
      <c r="G155" s="1174"/>
    </row>
    <row r="156" spans="2:7">
      <c r="B156" s="1175" t="s">
        <v>1176</v>
      </c>
      <c r="C156" s="1252" t="s">
        <v>1177</v>
      </c>
      <c r="D156" s="1176" t="s">
        <v>737</v>
      </c>
      <c r="E156" s="1177">
        <v>0</v>
      </c>
      <c r="F156" s="1174"/>
      <c r="G156" s="1174"/>
    </row>
    <row r="157" spans="2:7">
      <c r="B157" s="1175" t="s">
        <v>1178</v>
      </c>
      <c r="C157" s="1252" t="s">
        <v>1179</v>
      </c>
      <c r="D157" s="1253" t="s">
        <v>908</v>
      </c>
      <c r="E157" s="1254">
        <v>0</v>
      </c>
      <c r="F157" s="1174"/>
      <c r="G157" s="1174"/>
    </row>
    <row r="158" spans="2:7">
      <c r="B158" s="1175" t="s">
        <v>1180</v>
      </c>
      <c r="C158" s="1263" t="s">
        <v>1181</v>
      </c>
      <c r="D158" s="1257" t="s">
        <v>1161</v>
      </c>
      <c r="E158" s="1254">
        <v>0</v>
      </c>
      <c r="F158" s="1174"/>
      <c r="G158" s="1174"/>
    </row>
    <row r="159" spans="2:7" ht="15.75" thickBot="1">
      <c r="B159" s="1227" t="s">
        <v>1182</v>
      </c>
      <c r="C159" s="1264" t="s">
        <v>1183</v>
      </c>
      <c r="D159" s="1178" t="s">
        <v>927</v>
      </c>
      <c r="E159" s="1333"/>
      <c r="F159" s="1174"/>
      <c r="G159" s="1174"/>
    </row>
    <row r="160" spans="2:7">
      <c r="B160" s="1259" t="s">
        <v>1184</v>
      </c>
      <c r="C160" s="1260" t="s">
        <v>1185</v>
      </c>
      <c r="D160" s="1260"/>
      <c r="E160" s="1266"/>
      <c r="F160" s="1174"/>
      <c r="G160" s="1174"/>
    </row>
    <row r="161" spans="2:7">
      <c r="B161" s="1175" t="s">
        <v>1186</v>
      </c>
      <c r="C161" s="1267" t="s">
        <v>1187</v>
      </c>
      <c r="D161" s="1176" t="s">
        <v>737</v>
      </c>
      <c r="E161" s="1177">
        <v>0</v>
      </c>
      <c r="F161" s="1174"/>
      <c r="G161" s="1174"/>
    </row>
    <row r="162" spans="2:7">
      <c r="B162" s="1175" t="s">
        <v>1188</v>
      </c>
      <c r="C162" s="1267" t="s">
        <v>1189</v>
      </c>
      <c r="D162" s="1176" t="s">
        <v>908</v>
      </c>
      <c r="E162" s="1254">
        <v>0</v>
      </c>
      <c r="F162" s="1174"/>
      <c r="G162" s="1174"/>
    </row>
    <row r="163" spans="2:7">
      <c r="B163" s="1175" t="s">
        <v>1190</v>
      </c>
      <c r="C163" s="1267" t="s">
        <v>1191</v>
      </c>
      <c r="D163" s="1176" t="s">
        <v>1192</v>
      </c>
      <c r="E163" s="1177">
        <v>0</v>
      </c>
      <c r="F163" s="1174"/>
      <c r="G163" s="1174"/>
    </row>
    <row r="164" spans="2:7" ht="15.75" thickBot="1">
      <c r="B164" s="1227" t="s">
        <v>1193</v>
      </c>
      <c r="C164" s="1264" t="s">
        <v>1194</v>
      </c>
      <c r="D164" s="1178" t="s">
        <v>927</v>
      </c>
      <c r="E164" s="1229">
        <v>0</v>
      </c>
      <c r="F164" s="1174"/>
      <c r="G164" s="1174"/>
    </row>
    <row r="165" spans="2:7">
      <c r="B165" s="1259" t="s">
        <v>1195</v>
      </c>
      <c r="C165" s="1268" t="s">
        <v>1196</v>
      </c>
      <c r="D165" s="1269"/>
      <c r="E165" s="1270"/>
      <c r="F165" s="1174"/>
      <c r="G165" s="1174"/>
    </row>
    <row r="166" spans="2:7">
      <c r="B166" s="1175" t="s">
        <v>1197</v>
      </c>
      <c r="C166" s="1252" t="s">
        <v>1198</v>
      </c>
      <c r="D166" s="1176" t="s">
        <v>737</v>
      </c>
      <c r="E166" s="1177">
        <v>0</v>
      </c>
      <c r="F166" s="1174"/>
      <c r="G166" s="1174"/>
    </row>
    <row r="167" spans="2:7">
      <c r="B167" s="1175" t="s">
        <v>1199</v>
      </c>
      <c r="C167" s="1252" t="s">
        <v>1200</v>
      </c>
      <c r="D167" s="1253" t="s">
        <v>908</v>
      </c>
      <c r="E167" s="1254">
        <v>0</v>
      </c>
      <c r="F167" s="1174"/>
      <c r="G167" s="1174"/>
    </row>
    <row r="168" spans="2:7">
      <c r="B168" s="1234" t="s">
        <v>1201</v>
      </c>
      <c r="C168" s="1263" t="s">
        <v>1202</v>
      </c>
      <c r="D168" s="1257" t="s">
        <v>1161</v>
      </c>
      <c r="E168" s="1254"/>
      <c r="F168" s="1174"/>
      <c r="G168" s="1174"/>
    </row>
    <row r="169" spans="2:7" ht="15.75" thickBot="1">
      <c r="B169" s="1227" t="s">
        <v>1203</v>
      </c>
      <c r="C169" s="1264" t="s">
        <v>1204</v>
      </c>
      <c r="D169" s="1178" t="s">
        <v>927</v>
      </c>
      <c r="E169" s="1333"/>
      <c r="F169" s="1174"/>
      <c r="G169" s="1174"/>
    </row>
    <row r="170" spans="2:7">
      <c r="B170" s="1259" t="s">
        <v>1205</v>
      </c>
      <c r="C170" s="1260" t="s">
        <v>1206</v>
      </c>
      <c r="D170" s="1260"/>
      <c r="E170" s="1265"/>
      <c r="F170" s="1174"/>
      <c r="G170" s="1174"/>
    </row>
    <row r="171" spans="2:7">
      <c r="B171" s="1175" t="s">
        <v>1207</v>
      </c>
      <c r="C171" s="1271" t="s">
        <v>1208</v>
      </c>
      <c r="D171" s="1176" t="s">
        <v>737</v>
      </c>
      <c r="E171" s="1177">
        <v>0</v>
      </c>
      <c r="F171" s="1174"/>
      <c r="G171" s="1174"/>
    </row>
    <row r="172" spans="2:7">
      <c r="B172" s="1175" t="s">
        <v>1209</v>
      </c>
      <c r="C172" s="1272" t="s">
        <v>1210</v>
      </c>
      <c r="D172" s="1253" t="s">
        <v>908</v>
      </c>
      <c r="E172" s="1254">
        <v>0</v>
      </c>
      <c r="F172" s="1174"/>
      <c r="G172" s="1174"/>
    </row>
    <row r="173" spans="2:7">
      <c r="B173" s="1175" t="s">
        <v>1211</v>
      </c>
      <c r="C173" s="1272" t="s">
        <v>1212</v>
      </c>
      <c r="D173" s="1213" t="s">
        <v>1161</v>
      </c>
      <c r="E173" s="1177">
        <v>0</v>
      </c>
      <c r="F173" s="1174"/>
      <c r="G173" s="1174"/>
    </row>
    <row r="174" spans="2:7">
      <c r="B174" s="1175" t="s">
        <v>1213</v>
      </c>
      <c r="C174" s="1273" t="s">
        <v>1214</v>
      </c>
      <c r="D174" s="1257" t="s">
        <v>1161</v>
      </c>
      <c r="E174" s="1177">
        <v>0</v>
      </c>
      <c r="F174" s="1174"/>
      <c r="G174" s="1174"/>
    </row>
    <row r="175" spans="2:7" ht="15.75" thickBot="1">
      <c r="B175" s="1227" t="s">
        <v>1215</v>
      </c>
      <c r="C175" s="1264" t="s">
        <v>1163</v>
      </c>
      <c r="D175" s="1178" t="s">
        <v>927</v>
      </c>
      <c r="E175" s="1237">
        <v>0</v>
      </c>
      <c r="F175" s="1174"/>
      <c r="G175" s="1174"/>
    </row>
    <row r="176" spans="2:7">
      <c r="B176" s="1259" t="s">
        <v>1216</v>
      </c>
      <c r="C176" s="1260" t="s">
        <v>1217</v>
      </c>
      <c r="D176" s="1260"/>
      <c r="E176" s="1265"/>
      <c r="F176" s="1174"/>
      <c r="G176" s="1174"/>
    </row>
    <row r="177" spans="2:7">
      <c r="B177" s="1274" t="s">
        <v>1218</v>
      </c>
      <c r="C177" s="1271" t="s">
        <v>1219</v>
      </c>
      <c r="D177" s="1176" t="s">
        <v>737</v>
      </c>
      <c r="E177" s="1177">
        <v>0</v>
      </c>
      <c r="F177" s="1174"/>
      <c r="G177" s="1174"/>
    </row>
    <row r="178" spans="2:7">
      <c r="B178" s="1274" t="s">
        <v>1220</v>
      </c>
      <c r="C178" s="1272" t="s">
        <v>1221</v>
      </c>
      <c r="D178" s="1253" t="s">
        <v>908</v>
      </c>
      <c r="E178" s="1254">
        <v>0</v>
      </c>
      <c r="F178" s="1174"/>
      <c r="G178" s="1174"/>
    </row>
    <row r="179" spans="2:7">
      <c r="B179" s="1274" t="s">
        <v>1222</v>
      </c>
      <c r="C179" s="1272" t="s">
        <v>1223</v>
      </c>
      <c r="D179" s="1213" t="s">
        <v>1161</v>
      </c>
      <c r="E179" s="1177">
        <v>0</v>
      </c>
      <c r="F179" s="1174"/>
      <c r="G179" s="1174"/>
    </row>
    <row r="180" spans="2:7">
      <c r="B180" s="1274" t="s">
        <v>1224</v>
      </c>
      <c r="C180" s="1272" t="s">
        <v>1225</v>
      </c>
      <c r="D180" s="1213" t="s">
        <v>1161</v>
      </c>
      <c r="E180" s="1177">
        <v>0</v>
      </c>
      <c r="F180" s="1174"/>
      <c r="G180" s="1174"/>
    </row>
    <row r="181" spans="2:7">
      <c r="B181" s="1274" t="s">
        <v>1226</v>
      </c>
      <c r="C181" s="1272" t="s">
        <v>1227</v>
      </c>
      <c r="D181" s="1213" t="s">
        <v>1161</v>
      </c>
      <c r="E181" s="1177">
        <v>0</v>
      </c>
      <c r="F181" s="1174"/>
      <c r="G181" s="1174"/>
    </row>
    <row r="182" spans="2:7">
      <c r="B182" s="1274" t="s">
        <v>1228</v>
      </c>
      <c r="C182" s="1272" t="s">
        <v>1214</v>
      </c>
      <c r="D182" s="1213" t="s">
        <v>1161</v>
      </c>
      <c r="E182" s="1177">
        <v>0</v>
      </c>
      <c r="F182" s="1174"/>
      <c r="G182" s="1174"/>
    </row>
    <row r="183" spans="2:7" ht="15.75" thickBot="1">
      <c r="B183" s="1179" t="s">
        <v>1229</v>
      </c>
      <c r="C183" s="1275" t="s">
        <v>1163</v>
      </c>
      <c r="D183" s="1180" t="s">
        <v>927</v>
      </c>
      <c r="E183" s="1181">
        <v>0</v>
      </c>
      <c r="F183" s="1174"/>
      <c r="G183" s="1174"/>
    </row>
    <row r="184" spans="2:7" ht="15.75" thickBot="1">
      <c r="B184" s="1163"/>
      <c r="C184" s="1159" t="s">
        <v>1230</v>
      </c>
      <c r="D184" s="1159"/>
      <c r="E184" s="1164"/>
      <c r="F184" s="1276"/>
      <c r="G184" s="1174"/>
    </row>
    <row r="185" spans="2:7">
      <c r="B185" s="1245" t="s">
        <v>1231</v>
      </c>
      <c r="C185" s="1277" t="s">
        <v>1232</v>
      </c>
      <c r="D185" s="1278" t="s">
        <v>927</v>
      </c>
      <c r="E185" s="1279">
        <f>SUM(E186:E190)</f>
        <v>18</v>
      </c>
      <c r="F185" s="1174"/>
      <c r="G185" s="1174"/>
    </row>
    <row r="186" spans="2:7">
      <c r="B186" s="1175" t="s">
        <v>1233</v>
      </c>
      <c r="C186" s="1189" t="s">
        <v>1234</v>
      </c>
      <c r="D186" s="1280" t="s">
        <v>927</v>
      </c>
      <c r="E186" s="1186">
        <v>0</v>
      </c>
      <c r="F186" s="1221"/>
      <c r="G186" s="1221"/>
    </row>
    <row r="187" spans="2:7">
      <c r="B187" s="1175" t="s">
        <v>1235</v>
      </c>
      <c r="C187" s="1189" t="s">
        <v>1236</v>
      </c>
      <c r="D187" s="1280" t="s">
        <v>927</v>
      </c>
      <c r="E187" s="1186">
        <v>4</v>
      </c>
      <c r="F187" s="1221"/>
      <c r="G187" s="1221"/>
    </row>
    <row r="188" spans="2:7">
      <c r="B188" s="1175" t="s">
        <v>1237</v>
      </c>
      <c r="C188" s="1189" t="s">
        <v>1238</v>
      </c>
      <c r="D188" s="1280" t="s">
        <v>927</v>
      </c>
      <c r="E188" s="1186">
        <v>2</v>
      </c>
      <c r="F188" s="1221"/>
      <c r="G188" s="1221"/>
    </row>
    <row r="189" spans="2:7">
      <c r="B189" s="1175" t="s">
        <v>1239</v>
      </c>
      <c r="C189" s="1189" t="s">
        <v>1240</v>
      </c>
      <c r="D189" s="1280" t="s">
        <v>927</v>
      </c>
      <c r="E189" s="1186">
        <v>8</v>
      </c>
      <c r="F189" s="1221"/>
      <c r="G189" s="1221"/>
    </row>
    <row r="190" spans="2:7">
      <c r="B190" s="1175" t="s">
        <v>1241</v>
      </c>
      <c r="C190" s="1189" t="s">
        <v>1242</v>
      </c>
      <c r="D190" s="1280" t="s">
        <v>927</v>
      </c>
      <c r="E190" s="1216">
        <f>SUM(E191:E195)</f>
        <v>4</v>
      </c>
      <c r="F190" s="1221"/>
      <c r="G190" s="1221"/>
    </row>
    <row r="191" spans="2:7">
      <c r="B191" s="1215" t="s">
        <v>1243</v>
      </c>
      <c r="C191" s="1207" t="s">
        <v>1244</v>
      </c>
      <c r="D191" s="1253" t="s">
        <v>927</v>
      </c>
      <c r="E191" s="1217">
        <v>0</v>
      </c>
      <c r="F191" s="1221"/>
      <c r="G191" s="1221"/>
    </row>
    <row r="192" spans="2:7">
      <c r="B192" s="1215" t="s">
        <v>1245</v>
      </c>
      <c r="C192" s="1207" t="s">
        <v>1246</v>
      </c>
      <c r="D192" s="1253" t="s">
        <v>927</v>
      </c>
      <c r="E192" s="1217">
        <v>0</v>
      </c>
      <c r="F192" s="1221"/>
      <c r="G192" s="1221"/>
    </row>
    <row r="193" spans="2:7">
      <c r="B193" s="1215" t="s">
        <v>1247</v>
      </c>
      <c r="C193" s="1207" t="s">
        <v>1248</v>
      </c>
      <c r="D193" s="1253" t="s">
        <v>927</v>
      </c>
      <c r="E193" s="1217">
        <v>2</v>
      </c>
      <c r="F193" s="1221"/>
      <c r="G193" s="1221"/>
    </row>
    <row r="194" spans="2:7">
      <c r="B194" s="1215" t="s">
        <v>1249</v>
      </c>
      <c r="C194" s="1207" t="s">
        <v>1250</v>
      </c>
      <c r="D194" s="1253" t="s">
        <v>927</v>
      </c>
      <c r="E194" s="1217">
        <v>0</v>
      </c>
      <c r="F194" s="1221"/>
      <c r="G194" s="1221"/>
    </row>
    <row r="195" spans="2:7" ht="15.75" thickBot="1">
      <c r="B195" s="1281" t="s">
        <v>1251</v>
      </c>
      <c r="C195" s="1282" t="s">
        <v>1252</v>
      </c>
      <c r="D195" s="1283" t="s">
        <v>927</v>
      </c>
      <c r="E195" s="1284">
        <v>2</v>
      </c>
      <c r="F195" s="1285"/>
      <c r="G195" s="1285"/>
    </row>
    <row r="196" spans="2:7">
      <c r="B196" s="1286"/>
      <c r="C196" s="1286"/>
      <c r="D196" s="1286"/>
      <c r="E196" s="1287"/>
    </row>
    <row r="197" spans="2:7">
      <c r="B197" s="1288" t="s">
        <v>1253</v>
      </c>
      <c r="C197" s="1289" t="s">
        <v>1254</v>
      </c>
    </row>
    <row r="198" spans="2:7">
      <c r="B198" s="1290" t="s">
        <v>1255</v>
      </c>
      <c r="C198" s="1289" t="s">
        <v>1256</v>
      </c>
    </row>
    <row r="199" spans="2:7">
      <c r="C199" s="1291"/>
    </row>
    <row r="200" spans="2:7">
      <c r="B200" s="1292"/>
    </row>
    <row r="201" spans="2:7">
      <c r="B201" s="1292"/>
      <c r="C201" s="1293"/>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00"/>
  <sheetViews>
    <sheetView zoomScale="85" zoomScaleNormal="85" workbookViewId="0">
      <selection sqref="A1:Q1"/>
    </sheetView>
  </sheetViews>
  <sheetFormatPr defaultRowHeight="15"/>
  <cols>
    <col min="2" max="2" width="9.28515625" customWidth="1"/>
    <col min="3" max="3" width="61.42578125" customWidth="1"/>
    <col min="4" max="4" width="11" customWidth="1"/>
    <col min="5" max="5" width="14.42578125" customWidth="1"/>
    <col min="6" max="6" width="14.28515625" customWidth="1"/>
    <col min="7" max="7" width="14.7109375" customWidth="1"/>
    <col min="8" max="8" width="15.5703125" customWidth="1"/>
    <col min="9" max="9" width="13.7109375" customWidth="1"/>
    <col min="10" max="10" width="11.5703125" customWidth="1"/>
    <col min="11" max="11" width="11.7109375" customWidth="1"/>
    <col min="12" max="12" width="12.28515625" customWidth="1"/>
    <col min="13" max="13" width="20.7109375" customWidth="1"/>
    <col min="14" max="16" width="16.28515625" customWidth="1"/>
    <col min="17" max="17" width="23.28515625" customWidth="1"/>
  </cols>
  <sheetData>
    <row r="1" spans="1:17">
      <c r="A1" s="1443" t="s">
        <v>0</v>
      </c>
      <c r="B1" s="1444"/>
      <c r="C1" s="1444"/>
      <c r="D1" s="1444"/>
      <c r="E1" s="1444"/>
      <c r="F1" s="1444"/>
      <c r="G1" s="1444"/>
      <c r="H1" s="1444"/>
      <c r="I1" s="1444"/>
      <c r="J1" s="1444"/>
      <c r="K1" s="1444"/>
      <c r="L1" s="1444"/>
      <c r="M1" s="1444"/>
      <c r="N1" s="1444"/>
      <c r="O1" s="1444"/>
      <c r="P1" s="1444"/>
      <c r="Q1" s="1445"/>
    </row>
    <row r="2" spans="1:17">
      <c r="A2" s="1443" t="s">
        <v>1</v>
      </c>
      <c r="B2" s="1444"/>
      <c r="C2" s="1444"/>
      <c r="D2" s="1444"/>
      <c r="E2" s="1444"/>
      <c r="F2" s="1444"/>
      <c r="G2" s="1444"/>
      <c r="H2" s="1444"/>
      <c r="I2" s="1444"/>
      <c r="J2" s="1444"/>
      <c r="K2" s="1444"/>
      <c r="L2" s="1444"/>
      <c r="M2" s="1444"/>
      <c r="N2" s="1444"/>
      <c r="O2" s="1444"/>
      <c r="P2" s="1444"/>
      <c r="Q2" s="1445"/>
    </row>
    <row r="3" spans="1:17">
      <c r="A3" s="1446"/>
      <c r="B3" s="1447"/>
      <c r="C3" s="1447"/>
      <c r="D3" s="1447"/>
      <c r="E3" s="1447"/>
      <c r="F3" s="1447"/>
      <c r="G3" s="1447"/>
      <c r="H3" s="1447"/>
      <c r="I3" s="1447"/>
      <c r="J3" s="1447"/>
      <c r="K3" s="1447"/>
      <c r="L3" s="1447"/>
      <c r="M3" s="1447"/>
      <c r="N3" s="1447"/>
      <c r="O3" s="1447"/>
      <c r="P3" s="1447"/>
      <c r="Q3" s="1448"/>
    </row>
    <row r="4" spans="1:17">
      <c r="A4" s="1294"/>
      <c r="B4" s="1294"/>
      <c r="C4" s="1294"/>
      <c r="D4" s="1294"/>
      <c r="E4" s="1294"/>
      <c r="F4" s="1294"/>
      <c r="G4" s="1294"/>
      <c r="H4" s="1294"/>
      <c r="I4" s="1294"/>
      <c r="J4" s="1294"/>
      <c r="K4" s="1294"/>
      <c r="L4" s="1294"/>
      <c r="M4" s="1294"/>
      <c r="N4" s="1294"/>
      <c r="O4" s="1294"/>
      <c r="P4" s="1294"/>
      <c r="Q4" s="1294"/>
    </row>
    <row r="5" spans="1:17">
      <c r="A5" s="1449" t="s">
        <v>1257</v>
      </c>
      <c r="B5" s="1450"/>
      <c r="C5" s="1450"/>
      <c r="D5" s="1450"/>
      <c r="E5" s="1450"/>
      <c r="F5" s="1450"/>
      <c r="G5" s="1450"/>
      <c r="H5" s="1450"/>
      <c r="I5" s="1450"/>
      <c r="J5" s="1450"/>
      <c r="K5" s="1450"/>
      <c r="L5" s="1450"/>
      <c r="M5" s="1450"/>
      <c r="N5" s="1450"/>
      <c r="O5" s="1450"/>
      <c r="P5" s="1450"/>
      <c r="Q5" s="1451"/>
    </row>
    <row r="6" spans="1:17">
      <c r="A6" s="1294"/>
      <c r="B6" s="1294"/>
      <c r="C6" s="1294"/>
      <c r="D6" s="1294"/>
      <c r="E6" s="1294"/>
      <c r="F6" s="1294"/>
      <c r="G6" s="1294"/>
      <c r="H6" s="1294"/>
      <c r="I6" s="1294"/>
      <c r="J6" s="1294"/>
      <c r="K6" s="1294"/>
      <c r="L6" s="1294"/>
      <c r="M6" s="1294"/>
      <c r="N6" s="1294"/>
      <c r="O6" s="1294"/>
      <c r="P6" s="1294"/>
      <c r="Q6" s="1294"/>
    </row>
    <row r="7" spans="1:17" ht="15.75">
      <c r="B7" s="1295"/>
      <c r="C7" s="1296"/>
      <c r="D7" s="1295"/>
      <c r="E7" s="1295"/>
      <c r="F7" s="1295"/>
      <c r="G7" s="1295"/>
      <c r="H7" s="1295"/>
      <c r="I7" s="1295"/>
      <c r="J7" s="1295"/>
      <c r="K7" s="1295"/>
      <c r="L7" s="1295"/>
      <c r="M7" s="1295"/>
      <c r="N7" s="1295"/>
      <c r="O7" s="1295"/>
      <c r="P7" s="1295"/>
      <c r="Q7" s="1295"/>
    </row>
    <row r="8" spans="1:17" ht="15" customHeight="1" thickBot="1">
      <c r="B8" s="1334"/>
      <c r="C8" s="1334"/>
      <c r="D8" s="1334"/>
      <c r="E8" s="1334"/>
      <c r="F8" s="1334"/>
      <c r="G8" s="1334"/>
      <c r="H8" s="1334"/>
      <c r="I8" s="1334"/>
      <c r="J8" s="1334"/>
      <c r="K8" s="1334"/>
      <c r="L8" s="1334"/>
      <c r="M8" s="1334"/>
      <c r="N8" s="1334"/>
      <c r="O8" s="1334"/>
      <c r="P8" s="1334"/>
      <c r="Q8" s="1334"/>
    </row>
    <row r="9" spans="1:17" ht="86.25" customHeight="1" thickBot="1">
      <c r="B9" s="546" t="s">
        <v>4</v>
      </c>
      <c r="C9" s="547" t="s">
        <v>52</v>
      </c>
      <c r="D9" s="1297" t="s">
        <v>249</v>
      </c>
      <c r="E9" s="132" t="s">
        <v>250</v>
      </c>
      <c r="F9" s="1298" t="s">
        <v>251</v>
      </c>
      <c r="G9" s="1299" t="s">
        <v>252</v>
      </c>
      <c r="H9" s="1300" t="s">
        <v>253</v>
      </c>
      <c r="I9" s="132" t="s">
        <v>254</v>
      </c>
      <c r="J9" s="1298" t="s">
        <v>255</v>
      </c>
      <c r="K9" s="1299" t="s">
        <v>256</v>
      </c>
      <c r="L9" s="1301" t="s">
        <v>257</v>
      </c>
      <c r="M9" s="1302" t="s">
        <v>258</v>
      </c>
      <c r="N9" s="132" t="s">
        <v>259</v>
      </c>
      <c r="O9" s="130" t="s">
        <v>260</v>
      </c>
      <c r="P9" s="131" t="s">
        <v>261</v>
      </c>
      <c r="Q9" s="132" t="s">
        <v>262</v>
      </c>
    </row>
    <row r="10" spans="1:17" ht="15.4" customHeight="1">
      <c r="B10" s="549" t="s">
        <v>51</v>
      </c>
      <c r="C10" s="549" t="s">
        <v>589</v>
      </c>
      <c r="D10" s="1303">
        <f t="shared" ref="D10:Q10" si="0">D11+D15+D20+D23+D26+D29</f>
        <v>0</v>
      </c>
      <c r="E10" s="554">
        <f t="shared" si="0"/>
        <v>0</v>
      </c>
      <c r="F10" s="551">
        <f t="shared" si="0"/>
        <v>0</v>
      </c>
      <c r="G10" s="552">
        <f t="shared" si="0"/>
        <v>0</v>
      </c>
      <c r="H10" s="555">
        <f t="shared" si="0"/>
        <v>0</v>
      </c>
      <c r="I10" s="550">
        <f t="shared" si="0"/>
        <v>0</v>
      </c>
      <c r="J10" s="551">
        <f t="shared" si="0"/>
        <v>0</v>
      </c>
      <c r="K10" s="552">
        <f t="shared" si="0"/>
        <v>0</v>
      </c>
      <c r="L10" s="555">
        <f t="shared" si="0"/>
        <v>0</v>
      </c>
      <c r="M10" s="1090">
        <f t="shared" si="0"/>
        <v>0</v>
      </c>
      <c r="N10" s="550">
        <f t="shared" si="0"/>
        <v>0</v>
      </c>
      <c r="O10" s="552">
        <f t="shared" si="0"/>
        <v>0</v>
      </c>
      <c r="P10" s="555">
        <f t="shared" si="0"/>
        <v>0</v>
      </c>
      <c r="Q10" s="554">
        <f t="shared" si="0"/>
        <v>0</v>
      </c>
    </row>
    <row r="11" spans="1:17" ht="15.4" customHeight="1">
      <c r="B11" s="556" t="s">
        <v>96</v>
      </c>
      <c r="C11" s="557" t="s">
        <v>8</v>
      </c>
      <c r="D11" s="1304">
        <f t="shared" ref="D11:D74" si="1">E11+I11+M11+N11+Q11</f>
        <v>0</v>
      </c>
      <c r="E11" s="149">
        <f t="shared" ref="E11:E32" si="2">SUM(F11:H11)</f>
        <v>0</v>
      </c>
      <c r="F11" s="146">
        <f>SUM(F12:F14)</f>
        <v>0</v>
      </c>
      <c r="G11" s="147">
        <f>SUM(G12:G14)</f>
        <v>0</v>
      </c>
      <c r="H11" s="148">
        <f>SUM(H12:H14)</f>
        <v>0</v>
      </c>
      <c r="I11" s="145">
        <f t="shared" ref="I11:I32" si="3">SUM(J11:L11)</f>
        <v>0</v>
      </c>
      <c r="J11" s="146">
        <f t="shared" ref="J11:Q11" si="4">SUM(J12:J14)</f>
        <v>0</v>
      </c>
      <c r="K11" s="147">
        <f t="shared" si="4"/>
        <v>0</v>
      </c>
      <c r="L11" s="148">
        <f t="shared" si="4"/>
        <v>0</v>
      </c>
      <c r="M11" s="1092">
        <f t="shared" si="4"/>
        <v>0</v>
      </c>
      <c r="N11" s="145">
        <f t="shared" ref="N11:N32" si="5">SUM(O11:P11)</f>
        <v>0</v>
      </c>
      <c r="O11" s="147">
        <f t="shared" ref="O11:P11" si="6">SUM(O12:O14)</f>
        <v>0</v>
      </c>
      <c r="P11" s="148">
        <f t="shared" si="6"/>
        <v>0</v>
      </c>
      <c r="Q11" s="149">
        <f t="shared" si="4"/>
        <v>0</v>
      </c>
    </row>
    <row r="12" spans="1:17" ht="15.4" customHeight="1">
      <c r="B12" s="558" t="s">
        <v>98</v>
      </c>
      <c r="C12" s="559" t="s">
        <v>10</v>
      </c>
      <c r="D12" s="1304">
        <f t="shared" si="1"/>
        <v>0</v>
      </c>
      <c r="E12" s="149">
        <f t="shared" si="2"/>
        <v>0</v>
      </c>
      <c r="F12" s="372">
        <f t="shared" ref="F12:H14" si="7">SUM(F35,F58,F81)</f>
        <v>0</v>
      </c>
      <c r="G12" s="373">
        <f t="shared" si="7"/>
        <v>0</v>
      </c>
      <c r="H12" s="374">
        <f t="shared" si="7"/>
        <v>0</v>
      </c>
      <c r="I12" s="145">
        <f t="shared" si="3"/>
        <v>0</v>
      </c>
      <c r="J12" s="372">
        <f t="shared" ref="J12:M14" si="8">SUM(J35,J58,J81)</f>
        <v>0</v>
      </c>
      <c r="K12" s="373">
        <f t="shared" si="8"/>
        <v>0</v>
      </c>
      <c r="L12" s="374">
        <f t="shared" si="8"/>
        <v>0</v>
      </c>
      <c r="M12" s="1094">
        <f t="shared" si="8"/>
        <v>0</v>
      </c>
      <c r="N12" s="145">
        <f t="shared" si="5"/>
        <v>0</v>
      </c>
      <c r="O12" s="216">
        <f t="shared" ref="O12:Q14" si="9">SUM(O35,O58,O81)</f>
        <v>0</v>
      </c>
      <c r="P12" s="217">
        <f t="shared" si="9"/>
        <v>0</v>
      </c>
      <c r="Q12" s="149">
        <f t="shared" si="9"/>
        <v>0</v>
      </c>
    </row>
    <row r="13" spans="1:17" ht="15.4" customHeight="1">
      <c r="B13" s="558" t="s">
        <v>100</v>
      </c>
      <c r="C13" s="559" t="s">
        <v>11</v>
      </c>
      <c r="D13" s="1304">
        <f t="shared" si="1"/>
        <v>0</v>
      </c>
      <c r="E13" s="149">
        <f t="shared" si="2"/>
        <v>0</v>
      </c>
      <c r="F13" s="372">
        <f t="shared" si="7"/>
        <v>0</v>
      </c>
      <c r="G13" s="373">
        <f t="shared" si="7"/>
        <v>0</v>
      </c>
      <c r="H13" s="374">
        <f t="shared" si="7"/>
        <v>0</v>
      </c>
      <c r="I13" s="145">
        <f t="shared" si="3"/>
        <v>0</v>
      </c>
      <c r="J13" s="372">
        <f t="shared" si="8"/>
        <v>0</v>
      </c>
      <c r="K13" s="373">
        <f t="shared" si="8"/>
        <v>0</v>
      </c>
      <c r="L13" s="374">
        <f t="shared" si="8"/>
        <v>0</v>
      </c>
      <c r="M13" s="1094">
        <f t="shared" si="8"/>
        <v>0</v>
      </c>
      <c r="N13" s="145">
        <f t="shared" si="5"/>
        <v>0</v>
      </c>
      <c r="O13" s="216">
        <f t="shared" si="9"/>
        <v>0</v>
      </c>
      <c r="P13" s="217">
        <f t="shared" si="9"/>
        <v>0</v>
      </c>
      <c r="Q13" s="149">
        <f t="shared" si="9"/>
        <v>0</v>
      </c>
    </row>
    <row r="14" spans="1:17" ht="15.4" customHeight="1">
      <c r="B14" s="558" t="s">
        <v>590</v>
      </c>
      <c r="C14" s="559" t="s">
        <v>13</v>
      </c>
      <c r="D14" s="1304">
        <f t="shared" si="1"/>
        <v>0</v>
      </c>
      <c r="E14" s="149">
        <f t="shared" si="2"/>
        <v>0</v>
      </c>
      <c r="F14" s="372">
        <f t="shared" si="7"/>
        <v>0</v>
      </c>
      <c r="G14" s="373">
        <f t="shared" si="7"/>
        <v>0</v>
      </c>
      <c r="H14" s="374">
        <f t="shared" si="7"/>
        <v>0</v>
      </c>
      <c r="I14" s="145">
        <f t="shared" si="3"/>
        <v>0</v>
      </c>
      <c r="J14" s="372">
        <f t="shared" si="8"/>
        <v>0</v>
      </c>
      <c r="K14" s="373">
        <f t="shared" si="8"/>
        <v>0</v>
      </c>
      <c r="L14" s="374">
        <f t="shared" si="8"/>
        <v>0</v>
      </c>
      <c r="M14" s="1094">
        <f t="shared" si="8"/>
        <v>0</v>
      </c>
      <c r="N14" s="145">
        <f t="shared" si="5"/>
        <v>0</v>
      </c>
      <c r="O14" s="216">
        <f t="shared" si="9"/>
        <v>0</v>
      </c>
      <c r="P14" s="217">
        <f t="shared" si="9"/>
        <v>0</v>
      </c>
      <c r="Q14" s="149">
        <f t="shared" si="9"/>
        <v>0</v>
      </c>
    </row>
    <row r="15" spans="1:17" ht="15.4" customHeight="1">
      <c r="B15" s="556" t="s">
        <v>102</v>
      </c>
      <c r="C15" s="560" t="s">
        <v>15</v>
      </c>
      <c r="D15" s="1304">
        <f t="shared" si="1"/>
        <v>0</v>
      </c>
      <c r="E15" s="149">
        <f t="shared" si="2"/>
        <v>0</v>
      </c>
      <c r="F15" s="146">
        <f>SUM(F16:F19)</f>
        <v>0</v>
      </c>
      <c r="G15" s="147">
        <f>SUM(G16:G19)</f>
        <v>0</v>
      </c>
      <c r="H15" s="148">
        <f>SUM(H16:H19)</f>
        <v>0</v>
      </c>
      <c r="I15" s="145">
        <f t="shared" si="3"/>
        <v>0</v>
      </c>
      <c r="J15" s="146">
        <f t="shared" ref="J15:Q15" si="10">SUM(J16:J19)</f>
        <v>0</v>
      </c>
      <c r="K15" s="147">
        <f t="shared" si="10"/>
        <v>0</v>
      </c>
      <c r="L15" s="148">
        <f t="shared" si="10"/>
        <v>0</v>
      </c>
      <c r="M15" s="1092">
        <f t="shared" si="10"/>
        <v>0</v>
      </c>
      <c r="N15" s="145">
        <f t="shared" si="5"/>
        <v>0</v>
      </c>
      <c r="O15" s="344">
        <f t="shared" ref="O15:P15" si="11">SUM(O16:O19)</f>
        <v>0</v>
      </c>
      <c r="P15" s="345">
        <f t="shared" si="11"/>
        <v>0</v>
      </c>
      <c r="Q15" s="149">
        <f t="shared" si="10"/>
        <v>0</v>
      </c>
    </row>
    <row r="16" spans="1:17" ht="15.4" customHeight="1">
      <c r="B16" s="558" t="s">
        <v>104</v>
      </c>
      <c r="C16" s="559" t="s">
        <v>17</v>
      </c>
      <c r="D16" s="1304">
        <f t="shared" si="1"/>
        <v>0</v>
      </c>
      <c r="E16" s="149">
        <f t="shared" si="2"/>
        <v>0</v>
      </c>
      <c r="F16" s="372">
        <f t="shared" ref="F16:H19" si="12">SUM(F39,F62,F85)</f>
        <v>0</v>
      </c>
      <c r="G16" s="373">
        <f t="shared" si="12"/>
        <v>0</v>
      </c>
      <c r="H16" s="374">
        <f t="shared" si="12"/>
        <v>0</v>
      </c>
      <c r="I16" s="145">
        <f t="shared" si="3"/>
        <v>0</v>
      </c>
      <c r="J16" s="372">
        <f t="shared" ref="J16:M19" si="13">SUM(J39,J62,J85)</f>
        <v>0</v>
      </c>
      <c r="K16" s="373">
        <f t="shared" si="13"/>
        <v>0</v>
      </c>
      <c r="L16" s="374">
        <f t="shared" si="13"/>
        <v>0</v>
      </c>
      <c r="M16" s="1094">
        <f t="shared" si="13"/>
        <v>0</v>
      </c>
      <c r="N16" s="145">
        <f t="shared" si="5"/>
        <v>0</v>
      </c>
      <c r="O16" s="216">
        <f t="shared" ref="O16:Q19" si="14">SUM(O39,O62,O85)</f>
        <v>0</v>
      </c>
      <c r="P16" s="217">
        <f t="shared" si="14"/>
        <v>0</v>
      </c>
      <c r="Q16" s="149">
        <f t="shared" si="14"/>
        <v>0</v>
      </c>
    </row>
    <row r="17" spans="2:17" ht="15.4" customHeight="1">
      <c r="B17" s="558" t="s">
        <v>110</v>
      </c>
      <c r="C17" s="559" t="s">
        <v>591</v>
      </c>
      <c r="D17" s="1304">
        <f t="shared" si="1"/>
        <v>0</v>
      </c>
      <c r="E17" s="149">
        <f t="shared" si="2"/>
        <v>0</v>
      </c>
      <c r="F17" s="372">
        <f t="shared" si="12"/>
        <v>0</v>
      </c>
      <c r="G17" s="373">
        <f t="shared" si="12"/>
        <v>0</v>
      </c>
      <c r="H17" s="374">
        <f t="shared" si="12"/>
        <v>0</v>
      </c>
      <c r="I17" s="145">
        <f t="shared" si="3"/>
        <v>0</v>
      </c>
      <c r="J17" s="372">
        <f t="shared" si="13"/>
        <v>0</v>
      </c>
      <c r="K17" s="373">
        <f t="shared" si="13"/>
        <v>0</v>
      </c>
      <c r="L17" s="374">
        <f t="shared" si="13"/>
        <v>0</v>
      </c>
      <c r="M17" s="1094">
        <f t="shared" si="13"/>
        <v>0</v>
      </c>
      <c r="N17" s="145">
        <f t="shared" si="5"/>
        <v>0</v>
      </c>
      <c r="O17" s="216">
        <f t="shared" si="14"/>
        <v>0</v>
      </c>
      <c r="P17" s="217">
        <f t="shared" si="14"/>
        <v>0</v>
      </c>
      <c r="Q17" s="149">
        <f t="shared" si="14"/>
        <v>0</v>
      </c>
    </row>
    <row r="18" spans="2:17" ht="15.4" customHeight="1">
      <c r="B18" s="558" t="s">
        <v>117</v>
      </c>
      <c r="C18" s="559" t="s">
        <v>23</v>
      </c>
      <c r="D18" s="1304">
        <f t="shared" si="1"/>
        <v>0</v>
      </c>
      <c r="E18" s="149">
        <f t="shared" si="2"/>
        <v>0</v>
      </c>
      <c r="F18" s="372">
        <f t="shared" si="12"/>
        <v>0</v>
      </c>
      <c r="G18" s="373">
        <f t="shared" si="12"/>
        <v>0</v>
      </c>
      <c r="H18" s="374">
        <f t="shared" si="12"/>
        <v>0</v>
      </c>
      <c r="I18" s="145">
        <f t="shared" si="3"/>
        <v>0</v>
      </c>
      <c r="J18" s="372">
        <f t="shared" si="13"/>
        <v>0</v>
      </c>
      <c r="K18" s="373">
        <f t="shared" si="13"/>
        <v>0</v>
      </c>
      <c r="L18" s="374">
        <f t="shared" si="13"/>
        <v>0</v>
      </c>
      <c r="M18" s="1094">
        <f t="shared" si="13"/>
        <v>0</v>
      </c>
      <c r="N18" s="145">
        <f t="shared" si="5"/>
        <v>0</v>
      </c>
      <c r="O18" s="216">
        <f t="shared" si="14"/>
        <v>0</v>
      </c>
      <c r="P18" s="217">
        <f t="shared" si="14"/>
        <v>0</v>
      </c>
      <c r="Q18" s="149">
        <f t="shared" si="14"/>
        <v>0</v>
      </c>
    </row>
    <row r="19" spans="2:17" ht="40.9" customHeight="1">
      <c r="B19" s="558" t="s">
        <v>592</v>
      </c>
      <c r="C19" s="559" t="s">
        <v>593</v>
      </c>
      <c r="D19" s="1304">
        <f t="shared" si="1"/>
        <v>0</v>
      </c>
      <c r="E19" s="149">
        <f t="shared" si="2"/>
        <v>0</v>
      </c>
      <c r="F19" s="372">
        <f t="shared" si="12"/>
        <v>0</v>
      </c>
      <c r="G19" s="373">
        <f t="shared" si="12"/>
        <v>0</v>
      </c>
      <c r="H19" s="374">
        <f t="shared" si="12"/>
        <v>0</v>
      </c>
      <c r="I19" s="145">
        <f t="shared" si="3"/>
        <v>0</v>
      </c>
      <c r="J19" s="372">
        <f t="shared" si="13"/>
        <v>0</v>
      </c>
      <c r="K19" s="373">
        <f t="shared" si="13"/>
        <v>0</v>
      </c>
      <c r="L19" s="374">
        <f t="shared" si="13"/>
        <v>0</v>
      </c>
      <c r="M19" s="1094">
        <f t="shared" si="13"/>
        <v>0</v>
      </c>
      <c r="N19" s="145">
        <f t="shared" si="5"/>
        <v>0</v>
      </c>
      <c r="O19" s="216">
        <f t="shared" si="14"/>
        <v>0</v>
      </c>
      <c r="P19" s="217">
        <f t="shared" si="14"/>
        <v>0</v>
      </c>
      <c r="Q19" s="149">
        <f t="shared" si="14"/>
        <v>0</v>
      </c>
    </row>
    <row r="20" spans="2:17" ht="15.4" customHeight="1">
      <c r="B20" s="556" t="s">
        <v>124</v>
      </c>
      <c r="C20" s="562" t="s">
        <v>27</v>
      </c>
      <c r="D20" s="1304">
        <f t="shared" si="1"/>
        <v>0</v>
      </c>
      <c r="E20" s="149">
        <f t="shared" si="2"/>
        <v>0</v>
      </c>
      <c r="F20" s="146">
        <f>SUM(F21:F22)</f>
        <v>0</v>
      </c>
      <c r="G20" s="147">
        <f>SUM(G21:G22)</f>
        <v>0</v>
      </c>
      <c r="H20" s="148">
        <f>SUM(H21:H22)</f>
        <v>0</v>
      </c>
      <c r="I20" s="145">
        <f t="shared" si="3"/>
        <v>0</v>
      </c>
      <c r="J20" s="146">
        <f t="shared" ref="J20:Q20" si="15">SUM(J21:J22)</f>
        <v>0</v>
      </c>
      <c r="K20" s="147">
        <f t="shared" si="15"/>
        <v>0</v>
      </c>
      <c r="L20" s="148">
        <f t="shared" si="15"/>
        <v>0</v>
      </c>
      <c r="M20" s="1092">
        <f t="shared" si="15"/>
        <v>0</v>
      </c>
      <c r="N20" s="145">
        <f t="shared" si="5"/>
        <v>0</v>
      </c>
      <c r="O20" s="344">
        <f t="shared" ref="O20:P20" si="16">SUM(O21:O22)</f>
        <v>0</v>
      </c>
      <c r="P20" s="345">
        <f t="shared" si="16"/>
        <v>0</v>
      </c>
      <c r="Q20" s="149">
        <f t="shared" si="15"/>
        <v>0</v>
      </c>
    </row>
    <row r="21" spans="2:17" ht="15.4" customHeight="1">
      <c r="B21" s="558" t="s">
        <v>126</v>
      </c>
      <c r="C21" s="563" t="s">
        <v>29</v>
      </c>
      <c r="D21" s="1304">
        <f t="shared" si="1"/>
        <v>0</v>
      </c>
      <c r="E21" s="149">
        <f t="shared" si="2"/>
        <v>0</v>
      </c>
      <c r="F21" s="372">
        <f>SUM(F44,F67,F90)</f>
        <v>0</v>
      </c>
      <c r="G21" s="373">
        <f>SUM(G44,G67,G90)</f>
        <v>0</v>
      </c>
      <c r="H21" s="374">
        <f>SUM(H44,H67,H90)</f>
        <v>0</v>
      </c>
      <c r="I21" s="145">
        <f t="shared" si="3"/>
        <v>0</v>
      </c>
      <c r="J21" s="372">
        <f>SUM(J44,J67,J90)</f>
        <v>0</v>
      </c>
      <c r="K21" s="373">
        <f>SUM(K44,K67,K90)</f>
        <v>0</v>
      </c>
      <c r="L21" s="374">
        <f>SUM(L44,L67,L90)</f>
        <v>0</v>
      </c>
      <c r="M21" s="1094">
        <f>SUM(M44,M67,M90)</f>
        <v>0</v>
      </c>
      <c r="N21" s="145">
        <f t="shared" si="5"/>
        <v>0</v>
      </c>
      <c r="O21" s="216">
        <f>SUM(O44,O67,O90)</f>
        <v>0</v>
      </c>
      <c r="P21" s="217">
        <f>SUM(P44,P67,P90)</f>
        <v>0</v>
      </c>
      <c r="Q21" s="149">
        <f>SUM(Q44,Q67,Q90)</f>
        <v>0</v>
      </c>
    </row>
    <row r="22" spans="2:17" ht="15.4" customHeight="1">
      <c r="B22" s="558" t="s">
        <v>128</v>
      </c>
      <c r="C22" s="563" t="s">
        <v>31</v>
      </c>
      <c r="D22" s="1304">
        <f t="shared" si="1"/>
        <v>0</v>
      </c>
      <c r="E22" s="149">
        <f t="shared" si="2"/>
        <v>0</v>
      </c>
      <c r="F22" s="372">
        <f>SUM(F45,F68)</f>
        <v>0</v>
      </c>
      <c r="G22" s="373">
        <f>SUM(G45,G68)</f>
        <v>0</v>
      </c>
      <c r="H22" s="374">
        <f>SUM(H45,H68)</f>
        <v>0</v>
      </c>
      <c r="I22" s="145">
        <f t="shared" si="3"/>
        <v>0</v>
      </c>
      <c r="J22" s="372">
        <f t="shared" ref="J22:Q22" si="17">SUM(J45,J68)</f>
        <v>0</v>
      </c>
      <c r="K22" s="373">
        <f t="shared" si="17"/>
        <v>0</v>
      </c>
      <c r="L22" s="374">
        <f t="shared" si="17"/>
        <v>0</v>
      </c>
      <c r="M22" s="1094">
        <f t="shared" si="17"/>
        <v>0</v>
      </c>
      <c r="N22" s="145">
        <f t="shared" si="5"/>
        <v>0</v>
      </c>
      <c r="O22" s="216">
        <f t="shared" ref="O22:P22" si="18">SUM(O45,O68)</f>
        <v>0</v>
      </c>
      <c r="P22" s="217">
        <f t="shared" si="18"/>
        <v>0</v>
      </c>
      <c r="Q22" s="149">
        <f t="shared" si="17"/>
        <v>0</v>
      </c>
    </row>
    <row r="23" spans="2:17" ht="15.4" customHeight="1">
      <c r="B23" s="556" t="s">
        <v>268</v>
      </c>
      <c r="C23" s="562" t="s">
        <v>33</v>
      </c>
      <c r="D23" s="1304">
        <f t="shared" si="1"/>
        <v>0</v>
      </c>
      <c r="E23" s="149">
        <f t="shared" si="2"/>
        <v>0</v>
      </c>
      <c r="F23" s="146">
        <f>SUM(F24:F25)</f>
        <v>0</v>
      </c>
      <c r="G23" s="147">
        <f>SUM(G24:G25)</f>
        <v>0</v>
      </c>
      <c r="H23" s="148">
        <f>SUM(H24:H25)</f>
        <v>0</v>
      </c>
      <c r="I23" s="145">
        <f t="shared" si="3"/>
        <v>0</v>
      </c>
      <c r="J23" s="146">
        <f t="shared" ref="J23:Q23" si="19">SUM(J24:J25)</f>
        <v>0</v>
      </c>
      <c r="K23" s="147">
        <f t="shared" si="19"/>
        <v>0</v>
      </c>
      <c r="L23" s="148">
        <f t="shared" si="19"/>
        <v>0</v>
      </c>
      <c r="M23" s="1092">
        <f t="shared" si="19"/>
        <v>0</v>
      </c>
      <c r="N23" s="145">
        <f t="shared" si="5"/>
        <v>0</v>
      </c>
      <c r="O23" s="344">
        <f t="shared" ref="O23:P23" si="20">SUM(O24:O25)</f>
        <v>0</v>
      </c>
      <c r="P23" s="345">
        <f t="shared" si="20"/>
        <v>0</v>
      </c>
      <c r="Q23" s="149">
        <f t="shared" si="19"/>
        <v>0</v>
      </c>
    </row>
    <row r="24" spans="2:17" ht="15.4" customHeight="1">
      <c r="B24" s="558" t="s">
        <v>594</v>
      </c>
      <c r="C24" s="563" t="s">
        <v>595</v>
      </c>
      <c r="D24" s="1304">
        <f t="shared" si="1"/>
        <v>0</v>
      </c>
      <c r="E24" s="566">
        <f t="shared" si="2"/>
        <v>0</v>
      </c>
      <c r="F24" s="564">
        <f t="shared" ref="F24:H25" si="21">SUM(F47,F70,F92)</f>
        <v>0</v>
      </c>
      <c r="G24" s="565">
        <f t="shared" si="21"/>
        <v>0</v>
      </c>
      <c r="H24" s="1305">
        <f t="shared" si="21"/>
        <v>0</v>
      </c>
      <c r="I24" s="142">
        <f t="shared" si="3"/>
        <v>0</v>
      </c>
      <c r="J24" s="564">
        <f t="shared" ref="J24:M25" si="22">SUM(J47,J70,J92)</f>
        <v>0</v>
      </c>
      <c r="K24" s="565">
        <f t="shared" si="22"/>
        <v>0</v>
      </c>
      <c r="L24" s="1305">
        <f t="shared" si="22"/>
        <v>0</v>
      </c>
      <c r="M24" s="1306">
        <f t="shared" si="22"/>
        <v>0</v>
      </c>
      <c r="N24" s="142">
        <f t="shared" si="5"/>
        <v>0</v>
      </c>
      <c r="O24" s="468">
        <f t="shared" ref="O24:Q25" si="23">SUM(O47,O70,O92)</f>
        <v>0</v>
      </c>
      <c r="P24" s="469">
        <f t="shared" si="23"/>
        <v>0</v>
      </c>
      <c r="Q24" s="1307">
        <f t="shared" si="23"/>
        <v>0</v>
      </c>
    </row>
    <row r="25" spans="2:17" ht="32.65" customHeight="1">
      <c r="B25" s="558" t="s">
        <v>596</v>
      </c>
      <c r="C25" s="567" t="s">
        <v>597</v>
      </c>
      <c r="D25" s="1304">
        <f t="shared" si="1"/>
        <v>0</v>
      </c>
      <c r="E25" s="566">
        <f t="shared" si="2"/>
        <v>0</v>
      </c>
      <c r="F25" s="564">
        <f t="shared" si="21"/>
        <v>0</v>
      </c>
      <c r="G25" s="565">
        <f t="shared" si="21"/>
        <v>0</v>
      </c>
      <c r="H25" s="1305">
        <f t="shared" si="21"/>
        <v>0</v>
      </c>
      <c r="I25" s="142">
        <f t="shared" si="3"/>
        <v>0</v>
      </c>
      <c r="J25" s="564">
        <f t="shared" si="22"/>
        <v>0</v>
      </c>
      <c r="K25" s="565">
        <f t="shared" si="22"/>
        <v>0</v>
      </c>
      <c r="L25" s="1305">
        <f t="shared" si="22"/>
        <v>0</v>
      </c>
      <c r="M25" s="1306">
        <f t="shared" si="22"/>
        <v>0</v>
      </c>
      <c r="N25" s="142">
        <f t="shared" si="5"/>
        <v>0</v>
      </c>
      <c r="O25" s="468">
        <f t="shared" si="23"/>
        <v>0</v>
      </c>
      <c r="P25" s="469">
        <f t="shared" si="23"/>
        <v>0</v>
      </c>
      <c r="Q25" s="1307">
        <f t="shared" si="23"/>
        <v>0</v>
      </c>
    </row>
    <row r="26" spans="2:17" ht="15.4" customHeight="1">
      <c r="B26" s="556" t="s">
        <v>270</v>
      </c>
      <c r="C26" s="568" t="s">
        <v>39</v>
      </c>
      <c r="D26" s="1308">
        <f t="shared" si="1"/>
        <v>0</v>
      </c>
      <c r="E26" s="573">
        <f t="shared" si="2"/>
        <v>0</v>
      </c>
      <c r="F26" s="570">
        <f>SUM(F27:F28)</f>
        <v>0</v>
      </c>
      <c r="G26" s="571">
        <f>SUM(G27:G28)</f>
        <v>0</v>
      </c>
      <c r="H26" s="600">
        <f>SUM(H27:H28)</f>
        <v>0</v>
      </c>
      <c r="I26" s="569">
        <f t="shared" si="3"/>
        <v>0</v>
      </c>
      <c r="J26" s="570">
        <f t="shared" ref="J26:Q26" si="24">SUM(J27:J28)</f>
        <v>0</v>
      </c>
      <c r="K26" s="571">
        <f t="shared" si="24"/>
        <v>0</v>
      </c>
      <c r="L26" s="600">
        <f t="shared" si="24"/>
        <v>0</v>
      </c>
      <c r="M26" s="1097">
        <f t="shared" si="24"/>
        <v>0</v>
      </c>
      <c r="N26" s="569">
        <f t="shared" si="5"/>
        <v>0</v>
      </c>
      <c r="O26" s="571">
        <f t="shared" ref="O26:P26" si="25">SUM(O27:O28)</f>
        <v>0</v>
      </c>
      <c r="P26" s="600">
        <f t="shared" si="25"/>
        <v>0</v>
      </c>
      <c r="Q26" s="573">
        <f t="shared" si="24"/>
        <v>0</v>
      </c>
    </row>
    <row r="27" spans="2:17" ht="15.4" customHeight="1">
      <c r="B27" s="574" t="s">
        <v>272</v>
      </c>
      <c r="C27" s="575" t="s">
        <v>41</v>
      </c>
      <c r="D27" s="1309">
        <f t="shared" si="1"/>
        <v>0</v>
      </c>
      <c r="E27" s="578">
        <f t="shared" si="2"/>
        <v>0</v>
      </c>
      <c r="F27" s="576">
        <f t="shared" ref="F27:H28" si="26">SUM(F50,F73,F95)</f>
        <v>0</v>
      </c>
      <c r="G27" s="577">
        <f t="shared" si="26"/>
        <v>0</v>
      </c>
      <c r="H27" s="1310">
        <f t="shared" si="26"/>
        <v>0</v>
      </c>
      <c r="I27" s="305">
        <f t="shared" si="3"/>
        <v>0</v>
      </c>
      <c r="J27" s="576">
        <f t="shared" ref="J27:M28" si="27">SUM(J50,J73,J95)</f>
        <v>0</v>
      </c>
      <c r="K27" s="577">
        <f t="shared" si="27"/>
        <v>0</v>
      </c>
      <c r="L27" s="1310">
        <f t="shared" si="27"/>
        <v>0</v>
      </c>
      <c r="M27" s="1311">
        <f t="shared" si="27"/>
        <v>0</v>
      </c>
      <c r="N27" s="305">
        <f t="shared" si="5"/>
        <v>0</v>
      </c>
      <c r="O27" s="468">
        <f t="shared" ref="O27:Q28" si="28">SUM(O50,O73,O95)</f>
        <v>0</v>
      </c>
      <c r="P27" s="469">
        <f t="shared" si="28"/>
        <v>0</v>
      </c>
      <c r="Q27" s="1312">
        <f t="shared" si="28"/>
        <v>0</v>
      </c>
    </row>
    <row r="28" spans="2:17" ht="30.4" customHeight="1">
      <c r="B28" s="574" t="s">
        <v>274</v>
      </c>
      <c r="C28" s="579" t="s">
        <v>43</v>
      </c>
      <c r="D28" s="1308">
        <f t="shared" si="1"/>
        <v>0</v>
      </c>
      <c r="E28" s="573">
        <f t="shared" si="2"/>
        <v>0</v>
      </c>
      <c r="F28" s="467">
        <f t="shared" si="26"/>
        <v>0</v>
      </c>
      <c r="G28" s="468">
        <f t="shared" si="26"/>
        <v>0</v>
      </c>
      <c r="H28" s="469">
        <f t="shared" si="26"/>
        <v>0</v>
      </c>
      <c r="I28" s="569">
        <f t="shared" si="3"/>
        <v>0</v>
      </c>
      <c r="J28" s="467">
        <f t="shared" si="27"/>
        <v>0</v>
      </c>
      <c r="K28" s="468">
        <f t="shared" si="27"/>
        <v>0</v>
      </c>
      <c r="L28" s="469">
        <f t="shared" si="27"/>
        <v>0</v>
      </c>
      <c r="M28" s="1313">
        <f t="shared" si="27"/>
        <v>0</v>
      </c>
      <c r="N28" s="569">
        <f t="shared" si="5"/>
        <v>0</v>
      </c>
      <c r="O28" s="468">
        <f t="shared" si="28"/>
        <v>0</v>
      </c>
      <c r="P28" s="469">
        <f t="shared" si="28"/>
        <v>0</v>
      </c>
      <c r="Q28" s="472">
        <f t="shared" si="28"/>
        <v>0</v>
      </c>
    </row>
    <row r="29" spans="2:17" ht="15.4" customHeight="1">
      <c r="B29" s="580" t="s">
        <v>278</v>
      </c>
      <c r="C29" s="581" t="s">
        <v>598</v>
      </c>
      <c r="D29" s="1308">
        <f t="shared" si="1"/>
        <v>0</v>
      </c>
      <c r="E29" s="573">
        <f t="shared" si="2"/>
        <v>0</v>
      </c>
      <c r="F29" s="570">
        <f>SUM(F30:F32)</f>
        <v>0</v>
      </c>
      <c r="G29" s="571">
        <f>SUM(G30:G32)</f>
        <v>0</v>
      </c>
      <c r="H29" s="600">
        <f>SUM(H30:H32)</f>
        <v>0</v>
      </c>
      <c r="I29" s="569">
        <f t="shared" si="3"/>
        <v>0</v>
      </c>
      <c r="J29" s="570">
        <f t="shared" ref="J29:Q29" si="29">SUM(J30:J32)</f>
        <v>0</v>
      </c>
      <c r="K29" s="571">
        <f t="shared" si="29"/>
        <v>0</v>
      </c>
      <c r="L29" s="600">
        <f t="shared" si="29"/>
        <v>0</v>
      </c>
      <c r="M29" s="1097">
        <f t="shared" si="29"/>
        <v>0</v>
      </c>
      <c r="N29" s="569">
        <f t="shared" si="5"/>
        <v>0</v>
      </c>
      <c r="O29" s="571">
        <f t="shared" ref="O29:P29" si="30">SUM(O30:O32)</f>
        <v>0</v>
      </c>
      <c r="P29" s="600">
        <f t="shared" si="30"/>
        <v>0</v>
      </c>
      <c r="Q29" s="573">
        <f t="shared" si="29"/>
        <v>0</v>
      </c>
    </row>
    <row r="30" spans="2:17" ht="15.4" customHeight="1">
      <c r="B30" s="582" t="s">
        <v>280</v>
      </c>
      <c r="C30" s="1314" t="s">
        <v>599</v>
      </c>
      <c r="D30" s="1308">
        <f t="shared" si="1"/>
        <v>0</v>
      </c>
      <c r="E30" s="573">
        <f t="shared" si="2"/>
        <v>0</v>
      </c>
      <c r="F30" s="467">
        <f t="shared" ref="F30:H32" si="31">SUM(F53,F76,F98)</f>
        <v>0</v>
      </c>
      <c r="G30" s="468">
        <f t="shared" si="31"/>
        <v>0</v>
      </c>
      <c r="H30" s="469">
        <f t="shared" si="31"/>
        <v>0</v>
      </c>
      <c r="I30" s="569">
        <f t="shared" si="3"/>
        <v>0</v>
      </c>
      <c r="J30" s="467">
        <f t="shared" ref="J30:M32" si="32">SUM(J53,J76,J98)</f>
        <v>0</v>
      </c>
      <c r="K30" s="468">
        <f t="shared" si="32"/>
        <v>0</v>
      </c>
      <c r="L30" s="469">
        <f t="shared" si="32"/>
        <v>0</v>
      </c>
      <c r="M30" s="1313">
        <f t="shared" si="32"/>
        <v>0</v>
      </c>
      <c r="N30" s="569">
        <f t="shared" si="5"/>
        <v>0</v>
      </c>
      <c r="O30" s="468">
        <f t="shared" ref="O30:Q32" si="33">SUM(O53,O76,O98)</f>
        <v>0</v>
      </c>
      <c r="P30" s="469">
        <f t="shared" si="33"/>
        <v>0</v>
      </c>
      <c r="Q30" s="472">
        <f t="shared" si="33"/>
        <v>0</v>
      </c>
    </row>
    <row r="31" spans="2:17" ht="15.4" customHeight="1">
      <c r="B31" s="582" t="s">
        <v>600</v>
      </c>
      <c r="C31" s="1314" t="s">
        <v>599</v>
      </c>
      <c r="D31" s="1308">
        <f t="shared" si="1"/>
        <v>0</v>
      </c>
      <c r="E31" s="573">
        <f t="shared" si="2"/>
        <v>0</v>
      </c>
      <c r="F31" s="467">
        <f t="shared" si="31"/>
        <v>0</v>
      </c>
      <c r="G31" s="468">
        <f t="shared" si="31"/>
        <v>0</v>
      </c>
      <c r="H31" s="469">
        <f t="shared" si="31"/>
        <v>0</v>
      </c>
      <c r="I31" s="569">
        <f t="shared" si="3"/>
        <v>0</v>
      </c>
      <c r="J31" s="467">
        <f t="shared" si="32"/>
        <v>0</v>
      </c>
      <c r="K31" s="468">
        <f t="shared" si="32"/>
        <v>0</v>
      </c>
      <c r="L31" s="469">
        <f t="shared" si="32"/>
        <v>0</v>
      </c>
      <c r="M31" s="1313">
        <f t="shared" si="32"/>
        <v>0</v>
      </c>
      <c r="N31" s="569">
        <f t="shared" si="5"/>
        <v>0</v>
      </c>
      <c r="O31" s="468">
        <f t="shared" si="33"/>
        <v>0</v>
      </c>
      <c r="P31" s="469">
        <f t="shared" si="33"/>
        <v>0</v>
      </c>
      <c r="Q31" s="472">
        <f t="shared" si="33"/>
        <v>0</v>
      </c>
    </row>
    <row r="32" spans="2:17" ht="15.4" customHeight="1">
      <c r="B32" s="584" t="s">
        <v>601</v>
      </c>
      <c r="C32" s="1314" t="s">
        <v>599</v>
      </c>
      <c r="D32" s="1315">
        <f t="shared" si="1"/>
        <v>0</v>
      </c>
      <c r="E32" s="591">
        <f t="shared" si="2"/>
        <v>0</v>
      </c>
      <c r="F32" s="588">
        <f t="shared" si="31"/>
        <v>0</v>
      </c>
      <c r="G32" s="589">
        <f t="shared" si="31"/>
        <v>0</v>
      </c>
      <c r="H32" s="1316">
        <f t="shared" si="31"/>
        <v>0</v>
      </c>
      <c r="I32" s="587">
        <f t="shared" si="3"/>
        <v>0</v>
      </c>
      <c r="J32" s="588">
        <f t="shared" si="32"/>
        <v>0</v>
      </c>
      <c r="K32" s="589">
        <f t="shared" si="32"/>
        <v>0</v>
      </c>
      <c r="L32" s="1316">
        <f t="shared" si="32"/>
        <v>0</v>
      </c>
      <c r="M32" s="1317">
        <f t="shared" si="32"/>
        <v>0</v>
      </c>
      <c r="N32" s="587">
        <f t="shared" si="5"/>
        <v>0</v>
      </c>
      <c r="O32" s="577">
        <f t="shared" si="33"/>
        <v>0</v>
      </c>
      <c r="P32" s="1310">
        <f t="shared" si="33"/>
        <v>0</v>
      </c>
      <c r="Q32" s="1318">
        <f t="shared" si="33"/>
        <v>0</v>
      </c>
    </row>
    <row r="33" spans="2:17" ht="15.4" customHeight="1">
      <c r="B33" s="549" t="s">
        <v>53</v>
      </c>
      <c r="C33" s="549" t="s">
        <v>602</v>
      </c>
      <c r="D33" s="1319">
        <f t="shared" si="1"/>
        <v>0</v>
      </c>
      <c r="E33" s="554">
        <f t="shared" ref="E33:Q33" si="34">E34+E38+E43+E46+E49+E52</f>
        <v>0</v>
      </c>
      <c r="F33" s="551">
        <f t="shared" si="34"/>
        <v>0</v>
      </c>
      <c r="G33" s="552">
        <f t="shared" si="34"/>
        <v>0</v>
      </c>
      <c r="H33" s="555">
        <f t="shared" si="34"/>
        <v>0</v>
      </c>
      <c r="I33" s="550">
        <f t="shared" si="34"/>
        <v>0</v>
      </c>
      <c r="J33" s="551">
        <f t="shared" si="34"/>
        <v>0</v>
      </c>
      <c r="K33" s="552">
        <f t="shared" si="34"/>
        <v>0</v>
      </c>
      <c r="L33" s="555">
        <f t="shared" si="34"/>
        <v>0</v>
      </c>
      <c r="M33" s="1090">
        <f t="shared" si="34"/>
        <v>0</v>
      </c>
      <c r="N33" s="550">
        <f t="shared" si="34"/>
        <v>0</v>
      </c>
      <c r="O33" s="552">
        <f t="shared" si="34"/>
        <v>0</v>
      </c>
      <c r="P33" s="555">
        <f t="shared" si="34"/>
        <v>0</v>
      </c>
      <c r="Q33" s="554">
        <f t="shared" si="34"/>
        <v>0</v>
      </c>
    </row>
    <row r="34" spans="2:17" ht="15.4" customHeight="1">
      <c r="B34" s="556" t="s">
        <v>55</v>
      </c>
      <c r="C34" s="557" t="s">
        <v>8</v>
      </c>
      <c r="D34" s="1304">
        <f t="shared" si="1"/>
        <v>0</v>
      </c>
      <c r="E34" s="149">
        <f t="shared" ref="E34:E55" si="35">SUM(F34:H34)</f>
        <v>0</v>
      </c>
      <c r="F34" s="146">
        <f>SUM(F35:F37)</f>
        <v>0</v>
      </c>
      <c r="G34" s="147">
        <f>SUM(G35:G37)</f>
        <v>0</v>
      </c>
      <c r="H34" s="148">
        <f>SUM(H35:H37)</f>
        <v>0</v>
      </c>
      <c r="I34" s="145">
        <f t="shared" ref="I34:I55" si="36">SUM(J34:L34)</f>
        <v>0</v>
      </c>
      <c r="J34" s="146">
        <f t="shared" ref="J34:Q34" si="37">SUM(J35:J37)</f>
        <v>0</v>
      </c>
      <c r="K34" s="147">
        <f t="shared" si="37"/>
        <v>0</v>
      </c>
      <c r="L34" s="148">
        <f t="shared" si="37"/>
        <v>0</v>
      </c>
      <c r="M34" s="1092">
        <f t="shared" si="37"/>
        <v>0</v>
      </c>
      <c r="N34" s="145">
        <f t="shared" ref="N34:N55" si="38">SUM(O34:P34)</f>
        <v>0</v>
      </c>
      <c r="O34" s="147">
        <f t="shared" ref="O34:P34" si="39">SUM(O35:O37)</f>
        <v>0</v>
      </c>
      <c r="P34" s="148">
        <f t="shared" si="39"/>
        <v>0</v>
      </c>
      <c r="Q34" s="149">
        <f t="shared" si="37"/>
        <v>0</v>
      </c>
    </row>
    <row r="35" spans="2:17" ht="15.4" customHeight="1">
      <c r="B35" s="558" t="s">
        <v>133</v>
      </c>
      <c r="C35" s="559" t="s">
        <v>10</v>
      </c>
      <c r="D35" s="1304">
        <f t="shared" si="1"/>
        <v>0</v>
      </c>
      <c r="E35" s="149">
        <f t="shared" si="35"/>
        <v>0</v>
      </c>
      <c r="F35" s="321"/>
      <c r="G35" s="322"/>
      <c r="H35" s="323"/>
      <c r="I35" s="145">
        <f t="shared" si="36"/>
        <v>0</v>
      </c>
      <c r="J35" s="321"/>
      <c r="K35" s="322"/>
      <c r="L35" s="323"/>
      <c r="M35" s="1079"/>
      <c r="N35" s="145">
        <f t="shared" si="38"/>
        <v>0</v>
      </c>
      <c r="O35" s="322"/>
      <c r="P35" s="323"/>
      <c r="Q35" s="1080"/>
    </row>
    <row r="36" spans="2:17" ht="15.4" customHeight="1">
      <c r="B36" s="558" t="s">
        <v>135</v>
      </c>
      <c r="C36" s="559" t="s">
        <v>11</v>
      </c>
      <c r="D36" s="1304">
        <f t="shared" si="1"/>
        <v>0</v>
      </c>
      <c r="E36" s="149">
        <f t="shared" si="35"/>
        <v>0</v>
      </c>
      <c r="F36" s="321"/>
      <c r="G36" s="322"/>
      <c r="H36" s="323"/>
      <c r="I36" s="145">
        <f t="shared" si="36"/>
        <v>0</v>
      </c>
      <c r="J36" s="321"/>
      <c r="K36" s="322"/>
      <c r="L36" s="323"/>
      <c r="M36" s="1079"/>
      <c r="N36" s="145">
        <f t="shared" si="38"/>
        <v>0</v>
      </c>
      <c r="O36" s="322"/>
      <c r="P36" s="323"/>
      <c r="Q36" s="1080"/>
    </row>
    <row r="37" spans="2:17" ht="15.4" customHeight="1">
      <c r="B37" s="558" t="s">
        <v>137</v>
      </c>
      <c r="C37" s="559" t="s">
        <v>13</v>
      </c>
      <c r="D37" s="1304">
        <f t="shared" si="1"/>
        <v>0</v>
      </c>
      <c r="E37" s="149">
        <f t="shared" si="35"/>
        <v>0</v>
      </c>
      <c r="F37" s="321"/>
      <c r="G37" s="322"/>
      <c r="H37" s="323"/>
      <c r="I37" s="145">
        <f t="shared" si="36"/>
        <v>0</v>
      </c>
      <c r="J37" s="321"/>
      <c r="K37" s="322"/>
      <c r="L37" s="323"/>
      <c r="M37" s="1079"/>
      <c r="N37" s="145">
        <f t="shared" si="38"/>
        <v>0</v>
      </c>
      <c r="O37" s="322"/>
      <c r="P37" s="323"/>
      <c r="Q37" s="1080"/>
    </row>
    <row r="38" spans="2:17" ht="15.4" customHeight="1">
      <c r="B38" s="556" t="s">
        <v>138</v>
      </c>
      <c r="C38" s="560" t="s">
        <v>15</v>
      </c>
      <c r="D38" s="1304">
        <f t="shared" si="1"/>
        <v>0</v>
      </c>
      <c r="E38" s="149">
        <f t="shared" si="35"/>
        <v>0</v>
      </c>
      <c r="F38" s="146">
        <f>SUM(F39:F42)</f>
        <v>0</v>
      </c>
      <c r="G38" s="147">
        <f>SUM(G39:G42)</f>
        <v>0</v>
      </c>
      <c r="H38" s="148">
        <f>SUM(H39:H42)</f>
        <v>0</v>
      </c>
      <c r="I38" s="145">
        <f t="shared" si="36"/>
        <v>0</v>
      </c>
      <c r="J38" s="146">
        <f t="shared" ref="J38:Q38" si="40">SUM(J39:J42)</f>
        <v>0</v>
      </c>
      <c r="K38" s="147">
        <f t="shared" si="40"/>
        <v>0</v>
      </c>
      <c r="L38" s="148">
        <f t="shared" si="40"/>
        <v>0</v>
      </c>
      <c r="M38" s="1092">
        <f t="shared" si="40"/>
        <v>0</v>
      </c>
      <c r="N38" s="145">
        <f t="shared" si="38"/>
        <v>0</v>
      </c>
      <c r="O38" s="147">
        <f t="shared" ref="O38:P38" si="41">SUM(O39:O42)</f>
        <v>0</v>
      </c>
      <c r="P38" s="148">
        <f t="shared" si="41"/>
        <v>0</v>
      </c>
      <c r="Q38" s="149">
        <f t="shared" si="40"/>
        <v>0</v>
      </c>
    </row>
    <row r="39" spans="2:17" ht="15.4" customHeight="1">
      <c r="B39" s="558" t="s">
        <v>140</v>
      </c>
      <c r="C39" s="559" t="s">
        <v>17</v>
      </c>
      <c r="D39" s="1304">
        <f t="shared" si="1"/>
        <v>0</v>
      </c>
      <c r="E39" s="149">
        <f t="shared" si="35"/>
        <v>0</v>
      </c>
      <c r="F39" s="321"/>
      <c r="G39" s="322"/>
      <c r="H39" s="323"/>
      <c r="I39" s="145">
        <f t="shared" si="36"/>
        <v>0</v>
      </c>
      <c r="J39" s="321"/>
      <c r="K39" s="322"/>
      <c r="L39" s="323"/>
      <c r="M39" s="1079"/>
      <c r="N39" s="145">
        <f t="shared" si="38"/>
        <v>0</v>
      </c>
      <c r="O39" s="322"/>
      <c r="P39" s="323"/>
      <c r="Q39" s="1080"/>
    </row>
    <row r="40" spans="2:17" ht="15.4" customHeight="1">
      <c r="B40" s="558" t="s">
        <v>142</v>
      </c>
      <c r="C40" s="559" t="s">
        <v>591</v>
      </c>
      <c r="D40" s="1304">
        <f t="shared" si="1"/>
        <v>0</v>
      </c>
      <c r="E40" s="149">
        <f t="shared" si="35"/>
        <v>0</v>
      </c>
      <c r="F40" s="321"/>
      <c r="G40" s="322"/>
      <c r="H40" s="323"/>
      <c r="I40" s="145">
        <f t="shared" si="36"/>
        <v>0</v>
      </c>
      <c r="J40" s="321"/>
      <c r="K40" s="322"/>
      <c r="L40" s="323"/>
      <c r="M40" s="1079"/>
      <c r="N40" s="145">
        <f t="shared" si="38"/>
        <v>0</v>
      </c>
      <c r="O40" s="322"/>
      <c r="P40" s="323"/>
      <c r="Q40" s="1080"/>
    </row>
    <row r="41" spans="2:17" ht="15.4" customHeight="1">
      <c r="B41" s="558" t="s">
        <v>603</v>
      </c>
      <c r="C41" s="559" t="s">
        <v>23</v>
      </c>
      <c r="D41" s="1304">
        <f t="shared" si="1"/>
        <v>0</v>
      </c>
      <c r="E41" s="149">
        <f t="shared" si="35"/>
        <v>0</v>
      </c>
      <c r="F41" s="321"/>
      <c r="G41" s="322"/>
      <c r="H41" s="323"/>
      <c r="I41" s="145">
        <f t="shared" si="36"/>
        <v>0</v>
      </c>
      <c r="J41" s="321"/>
      <c r="K41" s="322"/>
      <c r="L41" s="323"/>
      <c r="M41" s="1079"/>
      <c r="N41" s="145">
        <f t="shared" si="38"/>
        <v>0</v>
      </c>
      <c r="O41" s="322"/>
      <c r="P41" s="323"/>
      <c r="Q41" s="1080"/>
    </row>
    <row r="42" spans="2:17" ht="43.15" customHeight="1">
      <c r="B42" s="558" t="s">
        <v>604</v>
      </c>
      <c r="C42" s="559" t="s">
        <v>593</v>
      </c>
      <c r="D42" s="1304">
        <f t="shared" si="1"/>
        <v>0</v>
      </c>
      <c r="E42" s="149">
        <f t="shared" si="35"/>
        <v>0</v>
      </c>
      <c r="F42" s="321"/>
      <c r="G42" s="322"/>
      <c r="H42" s="323"/>
      <c r="I42" s="145">
        <f t="shared" si="36"/>
        <v>0</v>
      </c>
      <c r="J42" s="321"/>
      <c r="K42" s="322"/>
      <c r="L42" s="323"/>
      <c r="M42" s="1079"/>
      <c r="N42" s="145">
        <f t="shared" si="38"/>
        <v>0</v>
      </c>
      <c r="O42" s="322"/>
      <c r="P42" s="323"/>
      <c r="Q42" s="1080"/>
    </row>
    <row r="43" spans="2:17" ht="15.4" customHeight="1">
      <c r="B43" s="556" t="s">
        <v>298</v>
      </c>
      <c r="C43" s="562" t="s">
        <v>27</v>
      </c>
      <c r="D43" s="1304">
        <f t="shared" si="1"/>
        <v>0</v>
      </c>
      <c r="E43" s="149">
        <f t="shared" si="35"/>
        <v>0</v>
      </c>
      <c r="F43" s="146">
        <f>SUM(F44:F45)</f>
        <v>0</v>
      </c>
      <c r="G43" s="147">
        <f>SUM(G44:G45)</f>
        <v>0</v>
      </c>
      <c r="H43" s="148">
        <f>SUM(H44:H45)</f>
        <v>0</v>
      </c>
      <c r="I43" s="145">
        <f t="shared" si="36"/>
        <v>0</v>
      </c>
      <c r="J43" s="146">
        <f t="shared" ref="J43:Q43" si="42">SUM(J44:J45)</f>
        <v>0</v>
      </c>
      <c r="K43" s="147">
        <f t="shared" si="42"/>
        <v>0</v>
      </c>
      <c r="L43" s="148">
        <f t="shared" si="42"/>
        <v>0</v>
      </c>
      <c r="M43" s="1092">
        <f t="shared" si="42"/>
        <v>0</v>
      </c>
      <c r="N43" s="145">
        <f t="shared" si="38"/>
        <v>0</v>
      </c>
      <c r="O43" s="147">
        <f t="shared" ref="O43:P43" si="43">SUM(O44:O45)</f>
        <v>0</v>
      </c>
      <c r="P43" s="148">
        <f t="shared" si="43"/>
        <v>0</v>
      </c>
      <c r="Q43" s="149">
        <f t="shared" si="42"/>
        <v>0</v>
      </c>
    </row>
    <row r="44" spans="2:17" ht="54.4" customHeight="1">
      <c r="B44" s="558" t="s">
        <v>300</v>
      </c>
      <c r="C44" s="563" t="s">
        <v>29</v>
      </c>
      <c r="D44" s="1304">
        <f t="shared" si="1"/>
        <v>0</v>
      </c>
      <c r="E44" s="149">
        <f t="shared" si="35"/>
        <v>0</v>
      </c>
      <c r="F44" s="321"/>
      <c r="G44" s="322"/>
      <c r="H44" s="323"/>
      <c r="I44" s="145">
        <f t="shared" si="36"/>
        <v>0</v>
      </c>
      <c r="J44" s="321"/>
      <c r="K44" s="322"/>
      <c r="L44" s="323"/>
      <c r="M44" s="1079"/>
      <c r="N44" s="145">
        <f t="shared" si="38"/>
        <v>0</v>
      </c>
      <c r="O44" s="322"/>
      <c r="P44" s="323"/>
      <c r="Q44" s="1080"/>
    </row>
    <row r="45" spans="2:17" ht="15.4" customHeight="1">
      <c r="B45" s="558" t="s">
        <v>301</v>
      </c>
      <c r="C45" s="563" t="s">
        <v>31</v>
      </c>
      <c r="D45" s="1304">
        <f t="shared" si="1"/>
        <v>0</v>
      </c>
      <c r="E45" s="149">
        <f t="shared" si="35"/>
        <v>0</v>
      </c>
      <c r="F45" s="321"/>
      <c r="G45" s="322"/>
      <c r="H45" s="323"/>
      <c r="I45" s="145">
        <f t="shared" si="36"/>
        <v>0</v>
      </c>
      <c r="J45" s="321"/>
      <c r="K45" s="322"/>
      <c r="L45" s="323"/>
      <c r="M45" s="1079"/>
      <c r="N45" s="145">
        <f t="shared" si="38"/>
        <v>0</v>
      </c>
      <c r="O45" s="322"/>
      <c r="P45" s="323"/>
      <c r="Q45" s="1080"/>
    </row>
    <row r="46" spans="2:17" ht="15.4" customHeight="1">
      <c r="B46" s="556" t="s">
        <v>303</v>
      </c>
      <c r="C46" s="562" t="s">
        <v>33</v>
      </c>
      <c r="D46" s="1304">
        <f t="shared" si="1"/>
        <v>0</v>
      </c>
      <c r="E46" s="149">
        <f t="shared" si="35"/>
        <v>0</v>
      </c>
      <c r="F46" s="146">
        <f>SUM(F47:F48)</f>
        <v>0</v>
      </c>
      <c r="G46" s="147">
        <f>SUM(G47:G48)</f>
        <v>0</v>
      </c>
      <c r="H46" s="148">
        <f>SUM(H47:H48)</f>
        <v>0</v>
      </c>
      <c r="I46" s="145">
        <f t="shared" si="36"/>
        <v>0</v>
      </c>
      <c r="J46" s="146">
        <f t="shared" ref="J46:Q46" si="44">SUM(J47:J48)</f>
        <v>0</v>
      </c>
      <c r="K46" s="147">
        <f t="shared" si="44"/>
        <v>0</v>
      </c>
      <c r="L46" s="148">
        <f t="shared" si="44"/>
        <v>0</v>
      </c>
      <c r="M46" s="1092">
        <f t="shared" si="44"/>
        <v>0</v>
      </c>
      <c r="N46" s="145">
        <f t="shared" si="38"/>
        <v>0</v>
      </c>
      <c r="O46" s="147">
        <f t="shared" ref="O46:P46" si="45">SUM(O47:O48)</f>
        <v>0</v>
      </c>
      <c r="P46" s="148">
        <f t="shared" si="45"/>
        <v>0</v>
      </c>
      <c r="Q46" s="149">
        <f t="shared" si="44"/>
        <v>0</v>
      </c>
    </row>
    <row r="47" spans="2:17" ht="15.4" customHeight="1">
      <c r="B47" s="558" t="s">
        <v>304</v>
      </c>
      <c r="C47" s="563" t="s">
        <v>595</v>
      </c>
      <c r="D47" s="1304">
        <f t="shared" si="1"/>
        <v>0</v>
      </c>
      <c r="E47" s="149">
        <f t="shared" si="35"/>
        <v>0</v>
      </c>
      <c r="F47" s="321"/>
      <c r="G47" s="322"/>
      <c r="H47" s="323"/>
      <c r="I47" s="145">
        <f t="shared" si="36"/>
        <v>0</v>
      </c>
      <c r="J47" s="321"/>
      <c r="K47" s="322"/>
      <c r="L47" s="323"/>
      <c r="M47" s="1079"/>
      <c r="N47" s="142">
        <f t="shared" si="38"/>
        <v>0</v>
      </c>
      <c r="O47" s="595"/>
      <c r="P47" s="598"/>
      <c r="Q47" s="1080"/>
    </row>
    <row r="48" spans="2:17" ht="30" customHeight="1">
      <c r="B48" s="558" t="s">
        <v>304</v>
      </c>
      <c r="C48" s="599" t="s">
        <v>597</v>
      </c>
      <c r="D48" s="1304">
        <f t="shared" si="1"/>
        <v>0</v>
      </c>
      <c r="E48" s="149">
        <f t="shared" si="35"/>
        <v>0</v>
      </c>
      <c r="F48" s="321"/>
      <c r="G48" s="322"/>
      <c r="H48" s="323"/>
      <c r="I48" s="145">
        <f t="shared" si="36"/>
        <v>0</v>
      </c>
      <c r="J48" s="321"/>
      <c r="K48" s="322"/>
      <c r="L48" s="323"/>
      <c r="M48" s="1079"/>
      <c r="N48" s="142">
        <f t="shared" si="38"/>
        <v>0</v>
      </c>
      <c r="O48" s="595"/>
      <c r="P48" s="598"/>
      <c r="Q48" s="1080"/>
    </row>
    <row r="49" spans="2:17" ht="15.4" customHeight="1">
      <c r="B49" s="556" t="s">
        <v>308</v>
      </c>
      <c r="C49" s="568" t="s">
        <v>39</v>
      </c>
      <c r="D49" s="1308">
        <f t="shared" si="1"/>
        <v>0</v>
      </c>
      <c r="E49" s="573">
        <f t="shared" si="35"/>
        <v>0</v>
      </c>
      <c r="F49" s="570">
        <f>SUM(F50:F51)</f>
        <v>0</v>
      </c>
      <c r="G49" s="571">
        <f>SUM(G50:G51)</f>
        <v>0</v>
      </c>
      <c r="H49" s="600">
        <f>SUM(H50:H51)</f>
        <v>0</v>
      </c>
      <c r="I49" s="569">
        <f t="shared" si="36"/>
        <v>0</v>
      </c>
      <c r="J49" s="570">
        <f t="shared" ref="J49:Q49" si="46">SUM(J50:J51)</f>
        <v>0</v>
      </c>
      <c r="K49" s="571">
        <f t="shared" si="46"/>
        <v>0</v>
      </c>
      <c r="L49" s="600">
        <f t="shared" si="46"/>
        <v>0</v>
      </c>
      <c r="M49" s="1097">
        <f t="shared" si="46"/>
        <v>0</v>
      </c>
      <c r="N49" s="569">
        <f t="shared" si="38"/>
        <v>0</v>
      </c>
      <c r="O49" s="571">
        <f t="shared" ref="O49:P49" si="47">SUM(O50:O51)</f>
        <v>0</v>
      </c>
      <c r="P49" s="600">
        <f t="shared" si="47"/>
        <v>0</v>
      </c>
      <c r="Q49" s="573">
        <f t="shared" si="46"/>
        <v>0</v>
      </c>
    </row>
    <row r="50" spans="2:17" ht="15.4" customHeight="1">
      <c r="B50" s="574" t="s">
        <v>310</v>
      </c>
      <c r="C50" s="575" t="s">
        <v>41</v>
      </c>
      <c r="D50" s="1309">
        <f t="shared" si="1"/>
        <v>0</v>
      </c>
      <c r="E50" s="149">
        <f t="shared" si="35"/>
        <v>0</v>
      </c>
      <c r="F50" s="321"/>
      <c r="G50" s="322"/>
      <c r="H50" s="323"/>
      <c r="I50" s="569">
        <f t="shared" si="36"/>
        <v>0</v>
      </c>
      <c r="J50" s="321"/>
      <c r="K50" s="322"/>
      <c r="L50" s="323"/>
      <c r="M50" s="1079"/>
      <c r="N50" s="305">
        <f t="shared" si="38"/>
        <v>0</v>
      </c>
      <c r="O50" s="602"/>
      <c r="P50" s="605"/>
      <c r="Q50" s="1080"/>
    </row>
    <row r="51" spans="2:17" ht="33" customHeight="1">
      <c r="B51" s="574" t="s">
        <v>312</v>
      </c>
      <c r="C51" s="579" t="s">
        <v>43</v>
      </c>
      <c r="D51" s="1308">
        <f t="shared" si="1"/>
        <v>0</v>
      </c>
      <c r="E51" s="149">
        <f t="shared" si="35"/>
        <v>0</v>
      </c>
      <c r="F51" s="321"/>
      <c r="G51" s="322"/>
      <c r="H51" s="323"/>
      <c r="I51" s="569">
        <f t="shared" si="36"/>
        <v>0</v>
      </c>
      <c r="J51" s="321"/>
      <c r="K51" s="322"/>
      <c r="L51" s="323"/>
      <c r="M51" s="1079"/>
      <c r="N51" s="569">
        <f t="shared" si="38"/>
        <v>0</v>
      </c>
      <c r="O51" s="607"/>
      <c r="P51" s="610"/>
      <c r="Q51" s="1080"/>
    </row>
    <row r="52" spans="2:17" ht="15.4" customHeight="1">
      <c r="B52" s="580" t="s">
        <v>314</v>
      </c>
      <c r="C52" s="581" t="s">
        <v>598</v>
      </c>
      <c r="D52" s="1308">
        <f t="shared" si="1"/>
        <v>0</v>
      </c>
      <c r="E52" s="573">
        <f t="shared" si="35"/>
        <v>0</v>
      </c>
      <c r="F52" s="570">
        <f>SUM(F53:F55)</f>
        <v>0</v>
      </c>
      <c r="G52" s="571">
        <f>SUM(G53:G55)</f>
        <v>0</v>
      </c>
      <c r="H52" s="600">
        <f>SUM(H53:H55)</f>
        <v>0</v>
      </c>
      <c r="I52" s="569">
        <f t="shared" si="36"/>
        <v>0</v>
      </c>
      <c r="J52" s="570">
        <f t="shared" ref="J52:Q52" si="48">SUM(J53:J55)</f>
        <v>0</v>
      </c>
      <c r="K52" s="571">
        <f t="shared" si="48"/>
        <v>0</v>
      </c>
      <c r="L52" s="600">
        <f t="shared" si="48"/>
        <v>0</v>
      </c>
      <c r="M52" s="1097">
        <f t="shared" si="48"/>
        <v>0</v>
      </c>
      <c r="N52" s="569">
        <f t="shared" si="38"/>
        <v>0</v>
      </c>
      <c r="O52" s="571">
        <f t="shared" ref="O52:P52" si="49">SUM(O53:O55)</f>
        <v>0</v>
      </c>
      <c r="P52" s="600">
        <f t="shared" si="49"/>
        <v>0</v>
      </c>
      <c r="Q52" s="573">
        <f t="shared" si="48"/>
        <v>0</v>
      </c>
    </row>
    <row r="53" spans="2:17" ht="15.4" customHeight="1">
      <c r="B53" s="582" t="s">
        <v>316</v>
      </c>
      <c r="C53" s="1314" t="s">
        <v>599</v>
      </c>
      <c r="D53" s="1308">
        <f t="shared" si="1"/>
        <v>0</v>
      </c>
      <c r="E53" s="149">
        <f t="shared" si="35"/>
        <v>0</v>
      </c>
      <c r="F53" s="321"/>
      <c r="G53" s="322"/>
      <c r="H53" s="323"/>
      <c r="I53" s="569">
        <f t="shared" si="36"/>
        <v>0</v>
      </c>
      <c r="J53" s="321"/>
      <c r="K53" s="322"/>
      <c r="L53" s="323"/>
      <c r="M53" s="1079"/>
      <c r="N53" s="569">
        <f t="shared" si="38"/>
        <v>0</v>
      </c>
      <c r="O53" s="607"/>
      <c r="P53" s="610"/>
      <c r="Q53" s="1080"/>
    </row>
    <row r="54" spans="2:17" ht="15.4" customHeight="1">
      <c r="B54" s="582" t="s">
        <v>605</v>
      </c>
      <c r="C54" s="1314" t="s">
        <v>599</v>
      </c>
      <c r="D54" s="1308">
        <f t="shared" si="1"/>
        <v>0</v>
      </c>
      <c r="E54" s="149">
        <f t="shared" si="35"/>
        <v>0</v>
      </c>
      <c r="F54" s="321"/>
      <c r="G54" s="322"/>
      <c r="H54" s="323"/>
      <c r="I54" s="569">
        <f t="shared" si="36"/>
        <v>0</v>
      </c>
      <c r="J54" s="321"/>
      <c r="K54" s="322"/>
      <c r="L54" s="323"/>
      <c r="M54" s="1079"/>
      <c r="N54" s="569">
        <f t="shared" si="38"/>
        <v>0</v>
      </c>
      <c r="O54" s="607"/>
      <c r="P54" s="610"/>
      <c r="Q54" s="1080"/>
    </row>
    <row r="55" spans="2:17" ht="15.4" customHeight="1">
      <c r="B55" s="584" t="s">
        <v>606</v>
      </c>
      <c r="C55" s="1314" t="s">
        <v>599</v>
      </c>
      <c r="D55" s="1315">
        <f t="shared" si="1"/>
        <v>0</v>
      </c>
      <c r="E55" s="1320">
        <f t="shared" si="35"/>
        <v>0</v>
      </c>
      <c r="F55" s="1083"/>
      <c r="G55" s="1084"/>
      <c r="H55" s="1085"/>
      <c r="I55" s="569">
        <f t="shared" si="36"/>
        <v>0</v>
      </c>
      <c r="J55" s="1083"/>
      <c r="K55" s="1084"/>
      <c r="L55" s="1085"/>
      <c r="M55" s="1086"/>
      <c r="N55" s="587">
        <f t="shared" si="38"/>
        <v>0</v>
      </c>
      <c r="O55" s="612"/>
      <c r="P55" s="615"/>
      <c r="Q55" s="1088"/>
    </row>
    <row r="56" spans="2:17" ht="15.4" customHeight="1">
      <c r="B56" s="549" t="s">
        <v>59</v>
      </c>
      <c r="C56" s="549" t="s">
        <v>607</v>
      </c>
      <c r="D56" s="1319">
        <f t="shared" si="1"/>
        <v>0</v>
      </c>
      <c r="E56" s="554">
        <f t="shared" ref="E56:Q56" si="50">E57+E61+E66+E69+E72+E75</f>
        <v>0</v>
      </c>
      <c r="F56" s="551">
        <f t="shared" si="50"/>
        <v>0</v>
      </c>
      <c r="G56" s="552">
        <f t="shared" si="50"/>
        <v>0</v>
      </c>
      <c r="H56" s="555">
        <f t="shared" si="50"/>
        <v>0</v>
      </c>
      <c r="I56" s="550">
        <f t="shared" si="50"/>
        <v>0</v>
      </c>
      <c r="J56" s="551">
        <f t="shared" si="50"/>
        <v>0</v>
      </c>
      <c r="K56" s="552">
        <f t="shared" si="50"/>
        <v>0</v>
      </c>
      <c r="L56" s="555">
        <f t="shared" si="50"/>
        <v>0</v>
      </c>
      <c r="M56" s="1090">
        <f t="shared" si="50"/>
        <v>0</v>
      </c>
      <c r="N56" s="550">
        <f t="shared" si="50"/>
        <v>0</v>
      </c>
      <c r="O56" s="552">
        <f t="shared" si="50"/>
        <v>0</v>
      </c>
      <c r="P56" s="555">
        <f t="shared" si="50"/>
        <v>0</v>
      </c>
      <c r="Q56" s="554">
        <f t="shared" si="50"/>
        <v>0</v>
      </c>
    </row>
    <row r="57" spans="2:17" ht="15.4" customHeight="1">
      <c r="B57" s="556" t="s">
        <v>147</v>
      </c>
      <c r="C57" s="557" t="s">
        <v>8</v>
      </c>
      <c r="D57" s="1304">
        <f t="shared" si="1"/>
        <v>0</v>
      </c>
      <c r="E57" s="149">
        <f t="shared" ref="E57:E78" si="51">SUM(F57:H57)</f>
        <v>0</v>
      </c>
      <c r="F57" s="146">
        <f>SUM(F58:F60)</f>
        <v>0</v>
      </c>
      <c r="G57" s="147">
        <f>SUM(G58:G60)</f>
        <v>0</v>
      </c>
      <c r="H57" s="148">
        <f>SUM(H58:H60)</f>
        <v>0</v>
      </c>
      <c r="I57" s="145">
        <f t="shared" ref="I57:I78" si="52">SUM(J57:L57)</f>
        <v>0</v>
      </c>
      <c r="J57" s="146">
        <f t="shared" ref="J57:M57" si="53">SUM(J58:J60)</f>
        <v>0</v>
      </c>
      <c r="K57" s="147">
        <f t="shared" si="53"/>
        <v>0</v>
      </c>
      <c r="L57" s="148">
        <f t="shared" si="53"/>
        <v>0</v>
      </c>
      <c r="M57" s="1092">
        <f t="shared" si="53"/>
        <v>0</v>
      </c>
      <c r="N57" s="145">
        <f t="shared" ref="N57:N78" si="54">SUM(O57:P57)</f>
        <v>0</v>
      </c>
      <c r="O57" s="147">
        <f t="shared" ref="O57:Q57" si="55">SUM(O58:O60)</f>
        <v>0</v>
      </c>
      <c r="P57" s="148">
        <f t="shared" si="55"/>
        <v>0</v>
      </c>
      <c r="Q57" s="149">
        <f t="shared" si="55"/>
        <v>0</v>
      </c>
    </row>
    <row r="58" spans="2:17" ht="15.4" customHeight="1">
      <c r="B58" s="558" t="s">
        <v>406</v>
      </c>
      <c r="C58" s="559" t="s">
        <v>10</v>
      </c>
      <c r="D58" s="1304">
        <f t="shared" si="1"/>
        <v>0</v>
      </c>
      <c r="E58" s="149">
        <f t="shared" si="51"/>
        <v>0</v>
      </c>
      <c r="F58" s="321"/>
      <c r="G58" s="322"/>
      <c r="H58" s="323"/>
      <c r="I58" s="145">
        <f t="shared" si="52"/>
        <v>0</v>
      </c>
      <c r="J58" s="321"/>
      <c r="K58" s="322"/>
      <c r="L58" s="323"/>
      <c r="M58" s="1079"/>
      <c r="N58" s="145">
        <f t="shared" si="54"/>
        <v>0</v>
      </c>
      <c r="O58" s="322"/>
      <c r="P58" s="323"/>
      <c r="Q58" s="1080"/>
    </row>
    <row r="59" spans="2:17" ht="15.4" customHeight="1">
      <c r="B59" s="558" t="s">
        <v>407</v>
      </c>
      <c r="C59" s="559" t="s">
        <v>11</v>
      </c>
      <c r="D59" s="1304">
        <f t="shared" si="1"/>
        <v>0</v>
      </c>
      <c r="E59" s="149">
        <f t="shared" si="51"/>
        <v>0</v>
      </c>
      <c r="F59" s="321"/>
      <c r="G59" s="322"/>
      <c r="H59" s="323"/>
      <c r="I59" s="145">
        <f t="shared" si="52"/>
        <v>0</v>
      </c>
      <c r="J59" s="321"/>
      <c r="K59" s="322"/>
      <c r="L59" s="323"/>
      <c r="M59" s="1079"/>
      <c r="N59" s="145">
        <f t="shared" si="54"/>
        <v>0</v>
      </c>
      <c r="O59" s="322"/>
      <c r="P59" s="323"/>
      <c r="Q59" s="1080"/>
    </row>
    <row r="60" spans="2:17" ht="15.4" customHeight="1">
      <c r="B60" s="558" t="s">
        <v>608</v>
      </c>
      <c r="C60" s="559" t="s">
        <v>13</v>
      </c>
      <c r="D60" s="1304">
        <f t="shared" si="1"/>
        <v>0</v>
      </c>
      <c r="E60" s="149">
        <f t="shared" si="51"/>
        <v>0</v>
      </c>
      <c r="F60" s="321"/>
      <c r="G60" s="322"/>
      <c r="H60" s="323"/>
      <c r="I60" s="145">
        <f t="shared" si="52"/>
        <v>0</v>
      </c>
      <c r="J60" s="321"/>
      <c r="K60" s="322"/>
      <c r="L60" s="323"/>
      <c r="M60" s="1079"/>
      <c r="N60" s="145">
        <f t="shared" si="54"/>
        <v>0</v>
      </c>
      <c r="O60" s="322"/>
      <c r="P60" s="323"/>
      <c r="Q60" s="1080"/>
    </row>
    <row r="61" spans="2:17" ht="15.4" customHeight="1">
      <c r="B61" s="556" t="s">
        <v>149</v>
      </c>
      <c r="C61" s="560" t="s">
        <v>15</v>
      </c>
      <c r="D61" s="1304">
        <f t="shared" si="1"/>
        <v>0</v>
      </c>
      <c r="E61" s="149">
        <f t="shared" si="51"/>
        <v>0</v>
      </c>
      <c r="F61" s="146">
        <f>SUM(F62:F65)</f>
        <v>0</v>
      </c>
      <c r="G61" s="147">
        <f>SUM(G62:G65)</f>
        <v>0</v>
      </c>
      <c r="H61" s="148">
        <f>SUM(H62:H65)</f>
        <v>0</v>
      </c>
      <c r="I61" s="145">
        <f t="shared" si="52"/>
        <v>0</v>
      </c>
      <c r="J61" s="146">
        <f t="shared" ref="J61:M61" si="56">SUM(J62:J65)</f>
        <v>0</v>
      </c>
      <c r="K61" s="147">
        <f t="shared" si="56"/>
        <v>0</v>
      </c>
      <c r="L61" s="148">
        <f t="shared" si="56"/>
        <v>0</v>
      </c>
      <c r="M61" s="1092">
        <f t="shared" si="56"/>
        <v>0</v>
      </c>
      <c r="N61" s="145">
        <f t="shared" si="54"/>
        <v>0</v>
      </c>
      <c r="O61" s="147">
        <f t="shared" ref="O61:Q61" si="57">SUM(O62:O65)</f>
        <v>0</v>
      </c>
      <c r="P61" s="148">
        <f t="shared" si="57"/>
        <v>0</v>
      </c>
      <c r="Q61" s="149">
        <f t="shared" si="57"/>
        <v>0</v>
      </c>
    </row>
    <row r="62" spans="2:17" ht="15.4" customHeight="1">
      <c r="B62" s="558" t="s">
        <v>151</v>
      </c>
      <c r="C62" s="559" t="s">
        <v>17</v>
      </c>
      <c r="D62" s="1304">
        <f t="shared" si="1"/>
        <v>0</v>
      </c>
      <c r="E62" s="149">
        <f t="shared" si="51"/>
        <v>0</v>
      </c>
      <c r="F62" s="321"/>
      <c r="G62" s="322"/>
      <c r="H62" s="323"/>
      <c r="I62" s="145">
        <f t="shared" si="52"/>
        <v>0</v>
      </c>
      <c r="J62" s="321"/>
      <c r="K62" s="322"/>
      <c r="L62" s="323"/>
      <c r="M62" s="1079"/>
      <c r="N62" s="145">
        <f t="shared" si="54"/>
        <v>0</v>
      </c>
      <c r="O62" s="322"/>
      <c r="P62" s="323"/>
      <c r="Q62" s="1080"/>
    </row>
    <row r="63" spans="2:17" ht="15.4" customHeight="1">
      <c r="B63" s="558" t="s">
        <v>153</v>
      </c>
      <c r="C63" s="559" t="s">
        <v>591</v>
      </c>
      <c r="D63" s="1304">
        <f t="shared" si="1"/>
        <v>0</v>
      </c>
      <c r="E63" s="149">
        <f t="shared" si="51"/>
        <v>0</v>
      </c>
      <c r="F63" s="321"/>
      <c r="G63" s="322"/>
      <c r="H63" s="323"/>
      <c r="I63" s="145">
        <f t="shared" si="52"/>
        <v>0</v>
      </c>
      <c r="J63" s="321"/>
      <c r="K63" s="322"/>
      <c r="L63" s="323"/>
      <c r="M63" s="1079"/>
      <c r="N63" s="145">
        <f t="shared" si="54"/>
        <v>0</v>
      </c>
      <c r="O63" s="322"/>
      <c r="P63" s="323"/>
      <c r="Q63" s="1080"/>
    </row>
    <row r="64" spans="2:17" ht="15.4" customHeight="1">
      <c r="B64" s="558" t="s">
        <v>155</v>
      </c>
      <c r="C64" s="559" t="s">
        <v>23</v>
      </c>
      <c r="D64" s="1304">
        <f t="shared" si="1"/>
        <v>0</v>
      </c>
      <c r="E64" s="149">
        <f t="shared" si="51"/>
        <v>0</v>
      </c>
      <c r="F64" s="321"/>
      <c r="G64" s="322"/>
      <c r="H64" s="323"/>
      <c r="I64" s="145">
        <f t="shared" si="52"/>
        <v>0</v>
      </c>
      <c r="J64" s="321"/>
      <c r="K64" s="322"/>
      <c r="L64" s="323"/>
      <c r="M64" s="1079"/>
      <c r="N64" s="145">
        <f t="shared" si="54"/>
        <v>0</v>
      </c>
      <c r="O64" s="322"/>
      <c r="P64" s="323"/>
      <c r="Q64" s="1080"/>
    </row>
    <row r="65" spans="2:17" ht="37.9" customHeight="1">
      <c r="B65" s="558" t="s">
        <v>609</v>
      </c>
      <c r="C65" s="559" t="s">
        <v>593</v>
      </c>
      <c r="D65" s="1304">
        <f t="shared" si="1"/>
        <v>0</v>
      </c>
      <c r="E65" s="149">
        <f t="shared" si="51"/>
        <v>0</v>
      </c>
      <c r="F65" s="321"/>
      <c r="G65" s="322"/>
      <c r="H65" s="323"/>
      <c r="I65" s="145">
        <f t="shared" si="52"/>
        <v>0</v>
      </c>
      <c r="J65" s="321"/>
      <c r="K65" s="322"/>
      <c r="L65" s="323"/>
      <c r="M65" s="1079"/>
      <c r="N65" s="145">
        <f t="shared" si="54"/>
        <v>0</v>
      </c>
      <c r="O65" s="322"/>
      <c r="P65" s="323"/>
      <c r="Q65" s="1080"/>
    </row>
    <row r="66" spans="2:17" ht="15.4" customHeight="1">
      <c r="B66" s="556" t="s">
        <v>157</v>
      </c>
      <c r="C66" s="562" t="s">
        <v>27</v>
      </c>
      <c r="D66" s="1304">
        <f t="shared" si="1"/>
        <v>0</v>
      </c>
      <c r="E66" s="149">
        <f t="shared" si="51"/>
        <v>0</v>
      </c>
      <c r="F66" s="146">
        <f>SUM(F67:F68)</f>
        <v>0</v>
      </c>
      <c r="G66" s="147">
        <f>SUM(G67:G68)</f>
        <v>0</v>
      </c>
      <c r="H66" s="148">
        <f>SUM(H67:H68)</f>
        <v>0</v>
      </c>
      <c r="I66" s="145">
        <f t="shared" si="52"/>
        <v>0</v>
      </c>
      <c r="J66" s="146">
        <f t="shared" ref="J66:M66" si="58">SUM(J67:J68)</f>
        <v>0</v>
      </c>
      <c r="K66" s="147">
        <f t="shared" si="58"/>
        <v>0</v>
      </c>
      <c r="L66" s="148">
        <f t="shared" si="58"/>
        <v>0</v>
      </c>
      <c r="M66" s="1092">
        <f t="shared" si="58"/>
        <v>0</v>
      </c>
      <c r="N66" s="145">
        <f t="shared" si="54"/>
        <v>0</v>
      </c>
      <c r="O66" s="147">
        <f t="shared" ref="O66:Q66" si="59">SUM(O67:O68)</f>
        <v>0</v>
      </c>
      <c r="P66" s="148">
        <f t="shared" si="59"/>
        <v>0</v>
      </c>
      <c r="Q66" s="149">
        <f t="shared" si="59"/>
        <v>0</v>
      </c>
    </row>
    <row r="67" spans="2:17" ht="55.5" customHeight="1">
      <c r="B67" s="558" t="s">
        <v>408</v>
      </c>
      <c r="C67" s="563" t="s">
        <v>29</v>
      </c>
      <c r="D67" s="1304">
        <f t="shared" si="1"/>
        <v>0</v>
      </c>
      <c r="E67" s="149">
        <f t="shared" si="51"/>
        <v>0</v>
      </c>
      <c r="F67" s="321"/>
      <c r="G67" s="322"/>
      <c r="H67" s="323"/>
      <c r="I67" s="145">
        <f t="shared" si="52"/>
        <v>0</v>
      </c>
      <c r="J67" s="321"/>
      <c r="K67" s="322"/>
      <c r="L67" s="323"/>
      <c r="M67" s="1079"/>
      <c r="N67" s="145">
        <f t="shared" si="54"/>
        <v>0</v>
      </c>
      <c r="O67" s="322"/>
      <c r="P67" s="323"/>
      <c r="Q67" s="1080"/>
    </row>
    <row r="68" spans="2:17" ht="15.4" customHeight="1">
      <c r="B68" s="558" t="s">
        <v>610</v>
      </c>
      <c r="C68" s="563" t="s">
        <v>31</v>
      </c>
      <c r="D68" s="1304">
        <f t="shared" si="1"/>
        <v>0</v>
      </c>
      <c r="E68" s="149">
        <f t="shared" si="51"/>
        <v>0</v>
      </c>
      <c r="F68" s="321"/>
      <c r="G68" s="322"/>
      <c r="H68" s="323"/>
      <c r="I68" s="145">
        <f t="shared" si="52"/>
        <v>0</v>
      </c>
      <c r="J68" s="321"/>
      <c r="K68" s="322"/>
      <c r="L68" s="323"/>
      <c r="M68" s="1079"/>
      <c r="N68" s="145">
        <f t="shared" si="54"/>
        <v>0</v>
      </c>
      <c r="O68" s="322"/>
      <c r="P68" s="323"/>
      <c r="Q68" s="1080"/>
    </row>
    <row r="69" spans="2:17" ht="15.4" customHeight="1">
      <c r="B69" s="556" t="s">
        <v>409</v>
      </c>
      <c r="C69" s="562" t="s">
        <v>33</v>
      </c>
      <c r="D69" s="1304">
        <f t="shared" si="1"/>
        <v>0</v>
      </c>
      <c r="E69" s="149">
        <f t="shared" si="51"/>
        <v>0</v>
      </c>
      <c r="F69" s="146">
        <f>SUM(F70:F71)</f>
        <v>0</v>
      </c>
      <c r="G69" s="147">
        <f>SUM(G70:G71)</f>
        <v>0</v>
      </c>
      <c r="H69" s="148">
        <f>SUM(H70:H71)</f>
        <v>0</v>
      </c>
      <c r="I69" s="145">
        <f t="shared" si="52"/>
        <v>0</v>
      </c>
      <c r="J69" s="146">
        <f t="shared" ref="J69:M69" si="60">SUM(J70:J71)</f>
        <v>0</v>
      </c>
      <c r="K69" s="147">
        <f t="shared" si="60"/>
        <v>0</v>
      </c>
      <c r="L69" s="148">
        <f t="shared" si="60"/>
        <v>0</v>
      </c>
      <c r="M69" s="1092">
        <f t="shared" si="60"/>
        <v>0</v>
      </c>
      <c r="N69" s="145">
        <f t="shared" si="54"/>
        <v>0</v>
      </c>
      <c r="O69" s="147">
        <f t="shared" ref="O69:Q69" si="61">SUM(O70:O71)</f>
        <v>0</v>
      </c>
      <c r="P69" s="148">
        <f t="shared" si="61"/>
        <v>0</v>
      </c>
      <c r="Q69" s="149">
        <f t="shared" si="61"/>
        <v>0</v>
      </c>
    </row>
    <row r="70" spans="2:17" ht="15.4" customHeight="1">
      <c r="B70" s="558" t="s">
        <v>410</v>
      </c>
      <c r="C70" s="563" t="s">
        <v>595</v>
      </c>
      <c r="D70" s="1304">
        <f t="shared" si="1"/>
        <v>0</v>
      </c>
      <c r="E70" s="149">
        <f t="shared" si="51"/>
        <v>0</v>
      </c>
      <c r="F70" s="321"/>
      <c r="G70" s="322"/>
      <c r="H70" s="323"/>
      <c r="I70" s="145">
        <f t="shared" si="52"/>
        <v>0</v>
      </c>
      <c r="J70" s="321"/>
      <c r="K70" s="322"/>
      <c r="L70" s="323"/>
      <c r="M70" s="1079"/>
      <c r="N70" s="142">
        <f t="shared" si="54"/>
        <v>0</v>
      </c>
      <c r="O70" s="595"/>
      <c r="P70" s="598"/>
      <c r="Q70" s="1080"/>
    </row>
    <row r="71" spans="2:17" ht="32.65" customHeight="1">
      <c r="B71" s="558" t="s">
        <v>411</v>
      </c>
      <c r="C71" s="599" t="s">
        <v>597</v>
      </c>
      <c r="D71" s="1304">
        <f t="shared" si="1"/>
        <v>0</v>
      </c>
      <c r="E71" s="149">
        <f t="shared" si="51"/>
        <v>0</v>
      </c>
      <c r="F71" s="321"/>
      <c r="G71" s="322"/>
      <c r="H71" s="323"/>
      <c r="I71" s="145">
        <f t="shared" si="52"/>
        <v>0</v>
      </c>
      <c r="J71" s="321"/>
      <c r="K71" s="322"/>
      <c r="L71" s="323"/>
      <c r="M71" s="1079"/>
      <c r="N71" s="142">
        <f t="shared" si="54"/>
        <v>0</v>
      </c>
      <c r="O71" s="595"/>
      <c r="P71" s="598"/>
      <c r="Q71" s="1080"/>
    </row>
    <row r="72" spans="2:17" ht="15.4" customHeight="1">
      <c r="B72" s="556" t="s">
        <v>415</v>
      </c>
      <c r="C72" s="568" t="s">
        <v>39</v>
      </c>
      <c r="D72" s="1308">
        <f t="shared" si="1"/>
        <v>0</v>
      </c>
      <c r="E72" s="573">
        <f t="shared" si="51"/>
        <v>0</v>
      </c>
      <c r="F72" s="570">
        <f>SUM(F73:F74)</f>
        <v>0</v>
      </c>
      <c r="G72" s="571">
        <f>SUM(G73:G74)</f>
        <v>0</v>
      </c>
      <c r="H72" s="600">
        <f>SUM(H73:H74)</f>
        <v>0</v>
      </c>
      <c r="I72" s="569">
        <f t="shared" si="52"/>
        <v>0</v>
      </c>
      <c r="J72" s="570">
        <f t="shared" ref="J72:M72" si="62">SUM(J73:J74)</f>
        <v>0</v>
      </c>
      <c r="K72" s="571">
        <f t="shared" si="62"/>
        <v>0</v>
      </c>
      <c r="L72" s="600">
        <f t="shared" si="62"/>
        <v>0</v>
      </c>
      <c r="M72" s="1097">
        <f t="shared" si="62"/>
        <v>0</v>
      </c>
      <c r="N72" s="569">
        <f t="shared" si="54"/>
        <v>0</v>
      </c>
      <c r="O72" s="571">
        <f t="shared" ref="O72:Q72" si="63">SUM(O73:O74)</f>
        <v>0</v>
      </c>
      <c r="P72" s="600">
        <f t="shared" si="63"/>
        <v>0</v>
      </c>
      <c r="Q72" s="573">
        <f t="shared" si="63"/>
        <v>0</v>
      </c>
    </row>
    <row r="73" spans="2:17" ht="15.4" customHeight="1">
      <c r="B73" s="574" t="s">
        <v>611</v>
      </c>
      <c r="C73" s="575" t="s">
        <v>41</v>
      </c>
      <c r="D73" s="1309">
        <f t="shared" si="1"/>
        <v>0</v>
      </c>
      <c r="E73" s="149">
        <f t="shared" si="51"/>
        <v>0</v>
      </c>
      <c r="F73" s="321"/>
      <c r="G73" s="322"/>
      <c r="H73" s="323"/>
      <c r="I73" s="569">
        <f t="shared" si="52"/>
        <v>0</v>
      </c>
      <c r="J73" s="321"/>
      <c r="K73" s="322"/>
      <c r="L73" s="323"/>
      <c r="M73" s="1079"/>
      <c r="N73" s="305">
        <f t="shared" si="54"/>
        <v>0</v>
      </c>
      <c r="O73" s="602"/>
      <c r="P73" s="605"/>
      <c r="Q73" s="1080"/>
    </row>
    <row r="74" spans="2:17" ht="32.65" customHeight="1">
      <c r="B74" s="574" t="s">
        <v>612</v>
      </c>
      <c r="C74" s="579" t="s">
        <v>43</v>
      </c>
      <c r="D74" s="1308">
        <f t="shared" si="1"/>
        <v>0</v>
      </c>
      <c r="E74" s="149">
        <f t="shared" si="51"/>
        <v>0</v>
      </c>
      <c r="F74" s="321"/>
      <c r="G74" s="322"/>
      <c r="H74" s="323"/>
      <c r="I74" s="569">
        <f t="shared" si="52"/>
        <v>0</v>
      </c>
      <c r="J74" s="321"/>
      <c r="K74" s="322"/>
      <c r="L74" s="323"/>
      <c r="M74" s="1079"/>
      <c r="N74" s="569">
        <f t="shared" si="54"/>
        <v>0</v>
      </c>
      <c r="O74" s="607"/>
      <c r="P74" s="610"/>
      <c r="Q74" s="1080"/>
    </row>
    <row r="75" spans="2:17" ht="15.4" customHeight="1">
      <c r="B75" s="580" t="s">
        <v>416</v>
      </c>
      <c r="C75" s="581" t="s">
        <v>598</v>
      </c>
      <c r="D75" s="1308">
        <f t="shared" ref="D75:D88" si="64">E75+I75+M75+N75+Q75</f>
        <v>0</v>
      </c>
      <c r="E75" s="573">
        <f t="shared" si="51"/>
        <v>0</v>
      </c>
      <c r="F75" s="570">
        <f>SUM(F76:F78)</f>
        <v>0</v>
      </c>
      <c r="G75" s="571">
        <f>SUM(G76:G78)</f>
        <v>0</v>
      </c>
      <c r="H75" s="600">
        <f>SUM(H76:H78)</f>
        <v>0</v>
      </c>
      <c r="I75" s="569">
        <f t="shared" si="52"/>
        <v>0</v>
      </c>
      <c r="J75" s="570">
        <f t="shared" ref="J75:M75" si="65">SUM(J76:J78)</f>
        <v>0</v>
      </c>
      <c r="K75" s="571">
        <f t="shared" si="65"/>
        <v>0</v>
      </c>
      <c r="L75" s="600">
        <f t="shared" si="65"/>
        <v>0</v>
      </c>
      <c r="M75" s="1097">
        <f t="shared" si="65"/>
        <v>0</v>
      </c>
      <c r="N75" s="569">
        <f t="shared" si="54"/>
        <v>0</v>
      </c>
      <c r="O75" s="571">
        <f t="shared" ref="O75:Q75" si="66">SUM(O76:O78)</f>
        <v>0</v>
      </c>
      <c r="P75" s="600">
        <f t="shared" si="66"/>
        <v>0</v>
      </c>
      <c r="Q75" s="573">
        <f t="shared" si="66"/>
        <v>0</v>
      </c>
    </row>
    <row r="76" spans="2:17" ht="15.4" customHeight="1">
      <c r="B76" s="582" t="s">
        <v>417</v>
      </c>
      <c r="C76" s="1314" t="s">
        <v>599</v>
      </c>
      <c r="D76" s="1308">
        <f t="shared" si="64"/>
        <v>0</v>
      </c>
      <c r="E76" s="149">
        <f t="shared" si="51"/>
        <v>0</v>
      </c>
      <c r="F76" s="321"/>
      <c r="G76" s="322"/>
      <c r="H76" s="323"/>
      <c r="I76" s="569">
        <f t="shared" si="52"/>
        <v>0</v>
      </c>
      <c r="J76" s="321"/>
      <c r="K76" s="322"/>
      <c r="L76" s="323"/>
      <c r="M76" s="1079"/>
      <c r="N76" s="569">
        <f t="shared" si="54"/>
        <v>0</v>
      </c>
      <c r="O76" s="607"/>
      <c r="P76" s="610"/>
      <c r="Q76" s="1080"/>
    </row>
    <row r="77" spans="2:17" ht="15.4" customHeight="1">
      <c r="B77" s="574" t="s">
        <v>418</v>
      </c>
      <c r="C77" s="1314" t="s">
        <v>599</v>
      </c>
      <c r="D77" s="1308">
        <f t="shared" si="64"/>
        <v>0</v>
      </c>
      <c r="E77" s="149">
        <f t="shared" si="51"/>
        <v>0</v>
      </c>
      <c r="F77" s="321"/>
      <c r="G77" s="322"/>
      <c r="H77" s="323"/>
      <c r="I77" s="569">
        <f t="shared" si="52"/>
        <v>0</v>
      </c>
      <c r="J77" s="321"/>
      <c r="K77" s="322"/>
      <c r="L77" s="323"/>
      <c r="M77" s="1079"/>
      <c r="N77" s="569">
        <f t="shared" si="54"/>
        <v>0</v>
      </c>
      <c r="O77" s="607"/>
      <c r="P77" s="610"/>
      <c r="Q77" s="1080"/>
    </row>
    <row r="78" spans="2:17" ht="15.4" customHeight="1">
      <c r="B78" s="620" t="s">
        <v>419</v>
      </c>
      <c r="C78" s="1314" t="s">
        <v>599</v>
      </c>
      <c r="D78" s="1315">
        <f t="shared" si="64"/>
        <v>0</v>
      </c>
      <c r="E78" s="1320">
        <f t="shared" si="51"/>
        <v>0</v>
      </c>
      <c r="F78" s="1083"/>
      <c r="G78" s="1084"/>
      <c r="H78" s="1085"/>
      <c r="I78" s="569">
        <f t="shared" si="52"/>
        <v>0</v>
      </c>
      <c r="J78" s="1083"/>
      <c r="K78" s="1084"/>
      <c r="L78" s="1085"/>
      <c r="M78" s="1086"/>
      <c r="N78" s="587">
        <f t="shared" si="54"/>
        <v>0</v>
      </c>
      <c r="O78" s="612"/>
      <c r="P78" s="615"/>
      <c r="Q78" s="1088"/>
    </row>
    <row r="79" spans="2:17" ht="15.4" customHeight="1">
      <c r="B79" s="549" t="s">
        <v>77</v>
      </c>
      <c r="C79" s="549" t="s">
        <v>635</v>
      </c>
      <c r="D79" s="1321">
        <f t="shared" si="64"/>
        <v>0</v>
      </c>
      <c r="E79" s="554">
        <f>E80+E84+E89+E91+E94+E97</f>
        <v>0</v>
      </c>
      <c r="F79" s="552">
        <f t="shared" ref="F79:Q79" si="67">F80+F84+F89+F91+F94+F97</f>
        <v>0</v>
      </c>
      <c r="G79" s="552">
        <f t="shared" si="67"/>
        <v>0</v>
      </c>
      <c r="H79" s="555">
        <f t="shared" si="67"/>
        <v>0</v>
      </c>
      <c r="I79" s="550">
        <f t="shared" si="67"/>
        <v>0</v>
      </c>
      <c r="J79" s="551">
        <f t="shared" si="67"/>
        <v>0</v>
      </c>
      <c r="K79" s="552">
        <f t="shared" si="67"/>
        <v>0</v>
      </c>
      <c r="L79" s="555">
        <f t="shared" si="67"/>
        <v>0</v>
      </c>
      <c r="M79" s="1090">
        <f t="shared" si="67"/>
        <v>0</v>
      </c>
      <c r="N79" s="664">
        <f t="shared" si="67"/>
        <v>0</v>
      </c>
      <c r="O79" s="666">
        <f t="shared" si="67"/>
        <v>0</v>
      </c>
      <c r="P79" s="669">
        <f t="shared" si="67"/>
        <v>0</v>
      </c>
      <c r="Q79" s="554">
        <f t="shared" si="67"/>
        <v>0</v>
      </c>
    </row>
    <row r="80" spans="2:17" ht="15.4" customHeight="1">
      <c r="B80" s="556" t="s">
        <v>491</v>
      </c>
      <c r="C80" s="557" t="s">
        <v>8</v>
      </c>
      <c r="D80" s="1304">
        <f t="shared" si="64"/>
        <v>0</v>
      </c>
      <c r="E80" s="149">
        <f t="shared" ref="E80:E100" si="68">SUM(F80:H80)</f>
        <v>0</v>
      </c>
      <c r="F80" s="146">
        <f>SUM(F81:F83)</f>
        <v>0</v>
      </c>
      <c r="G80" s="147">
        <f>SUM(G81:G83)</f>
        <v>0</v>
      </c>
      <c r="H80" s="148">
        <f>SUM(H81:H83)</f>
        <v>0</v>
      </c>
      <c r="I80" s="145">
        <f t="shared" ref="I80:I100" si="69">SUM(J80:L80)</f>
        <v>0</v>
      </c>
      <c r="J80" s="146">
        <f t="shared" ref="J80:M80" si="70">SUM(J81:J83)</f>
        <v>0</v>
      </c>
      <c r="K80" s="147">
        <f t="shared" si="70"/>
        <v>0</v>
      </c>
      <c r="L80" s="148">
        <f t="shared" si="70"/>
        <v>0</v>
      </c>
      <c r="M80" s="1092">
        <f t="shared" si="70"/>
        <v>0</v>
      </c>
      <c r="N80" s="145">
        <f t="shared" ref="N80:N100" si="71">SUM(O80:P80)</f>
        <v>0</v>
      </c>
      <c r="O80" s="147">
        <f t="shared" ref="O80:Q80" si="72">SUM(O81:O83)</f>
        <v>0</v>
      </c>
      <c r="P80" s="148">
        <f t="shared" si="72"/>
        <v>0</v>
      </c>
      <c r="Q80" s="149">
        <f t="shared" si="72"/>
        <v>0</v>
      </c>
    </row>
    <row r="81" spans="2:17" ht="15.4" customHeight="1">
      <c r="B81" s="558" t="s">
        <v>492</v>
      </c>
      <c r="C81" s="559" t="s">
        <v>10</v>
      </c>
      <c r="D81" s="1304">
        <f t="shared" si="64"/>
        <v>0</v>
      </c>
      <c r="E81" s="149">
        <f t="shared" si="68"/>
        <v>0</v>
      </c>
      <c r="F81" s="321"/>
      <c r="G81" s="322"/>
      <c r="H81" s="323"/>
      <c r="I81" s="145">
        <f t="shared" si="69"/>
        <v>0</v>
      </c>
      <c r="J81" s="321"/>
      <c r="K81" s="322"/>
      <c r="L81" s="323"/>
      <c r="M81" s="1079"/>
      <c r="N81" s="145">
        <f t="shared" si="71"/>
        <v>0</v>
      </c>
      <c r="O81" s="322"/>
      <c r="P81" s="323"/>
      <c r="Q81" s="1080"/>
    </row>
    <row r="82" spans="2:17" ht="15.4" customHeight="1">
      <c r="B82" s="558" t="s">
        <v>636</v>
      </c>
      <c r="C82" s="559" t="s">
        <v>11</v>
      </c>
      <c r="D82" s="1304">
        <f t="shared" si="64"/>
        <v>0</v>
      </c>
      <c r="E82" s="149">
        <f t="shared" si="68"/>
        <v>0</v>
      </c>
      <c r="F82" s="321"/>
      <c r="G82" s="322"/>
      <c r="H82" s="323"/>
      <c r="I82" s="145">
        <f t="shared" si="69"/>
        <v>0</v>
      </c>
      <c r="J82" s="321"/>
      <c r="K82" s="322"/>
      <c r="L82" s="323"/>
      <c r="M82" s="1079"/>
      <c r="N82" s="145">
        <f t="shared" si="71"/>
        <v>0</v>
      </c>
      <c r="O82" s="322"/>
      <c r="P82" s="323"/>
      <c r="Q82" s="1080"/>
    </row>
    <row r="83" spans="2:17" ht="15.4" customHeight="1">
      <c r="B83" s="558" t="s">
        <v>637</v>
      </c>
      <c r="C83" s="559" t="s">
        <v>13</v>
      </c>
      <c r="D83" s="1304">
        <f t="shared" si="64"/>
        <v>0</v>
      </c>
      <c r="E83" s="149">
        <f t="shared" si="68"/>
        <v>0</v>
      </c>
      <c r="F83" s="321"/>
      <c r="G83" s="322"/>
      <c r="H83" s="323"/>
      <c r="I83" s="145">
        <f t="shared" si="69"/>
        <v>0</v>
      </c>
      <c r="J83" s="321"/>
      <c r="K83" s="322"/>
      <c r="L83" s="323"/>
      <c r="M83" s="1079"/>
      <c r="N83" s="145">
        <f t="shared" si="71"/>
        <v>0</v>
      </c>
      <c r="O83" s="322"/>
      <c r="P83" s="323"/>
      <c r="Q83" s="1080"/>
    </row>
    <row r="84" spans="2:17" ht="15.4" customHeight="1">
      <c r="B84" s="556" t="s">
        <v>167</v>
      </c>
      <c r="C84" s="560" t="s">
        <v>15</v>
      </c>
      <c r="D84" s="1304">
        <f t="shared" si="64"/>
        <v>0</v>
      </c>
      <c r="E84" s="149">
        <f t="shared" si="68"/>
        <v>0</v>
      </c>
      <c r="F84" s="146">
        <f>SUM(F85:F88)</f>
        <v>0</v>
      </c>
      <c r="G84" s="147">
        <f>SUM(G85:G88)</f>
        <v>0</v>
      </c>
      <c r="H84" s="148">
        <f>SUM(H85:H88)</f>
        <v>0</v>
      </c>
      <c r="I84" s="145">
        <f t="shared" si="69"/>
        <v>0</v>
      </c>
      <c r="J84" s="146">
        <f t="shared" ref="J84:M84" si="73">SUM(J85:J88)</f>
        <v>0</v>
      </c>
      <c r="K84" s="147">
        <f t="shared" si="73"/>
        <v>0</v>
      </c>
      <c r="L84" s="148">
        <f t="shared" si="73"/>
        <v>0</v>
      </c>
      <c r="M84" s="1092">
        <f t="shared" si="73"/>
        <v>0</v>
      </c>
      <c r="N84" s="145">
        <f t="shared" si="71"/>
        <v>0</v>
      </c>
      <c r="O84" s="147">
        <f t="shared" ref="O84:Q84" si="74">SUM(O85:O88)</f>
        <v>0</v>
      </c>
      <c r="P84" s="148">
        <f t="shared" si="74"/>
        <v>0</v>
      </c>
      <c r="Q84" s="149">
        <f t="shared" si="74"/>
        <v>0</v>
      </c>
    </row>
    <row r="85" spans="2:17" ht="15.4" customHeight="1">
      <c r="B85" s="558" t="s">
        <v>494</v>
      </c>
      <c r="C85" s="559" t="s">
        <v>17</v>
      </c>
      <c r="D85" s="1304">
        <f t="shared" si="64"/>
        <v>0</v>
      </c>
      <c r="E85" s="149">
        <f t="shared" si="68"/>
        <v>0</v>
      </c>
      <c r="F85" s="321"/>
      <c r="G85" s="322"/>
      <c r="H85" s="323"/>
      <c r="I85" s="145">
        <f t="shared" si="69"/>
        <v>0</v>
      </c>
      <c r="J85" s="321"/>
      <c r="K85" s="322"/>
      <c r="L85" s="323"/>
      <c r="M85" s="1079"/>
      <c r="N85" s="145">
        <f t="shared" si="71"/>
        <v>0</v>
      </c>
      <c r="O85" s="322"/>
      <c r="P85" s="323"/>
      <c r="Q85" s="1080"/>
    </row>
    <row r="86" spans="2:17" ht="15.4" customHeight="1">
      <c r="B86" s="558" t="s">
        <v>496</v>
      </c>
      <c r="C86" s="559" t="s">
        <v>591</v>
      </c>
      <c r="D86" s="1304">
        <f t="shared" si="64"/>
        <v>0</v>
      </c>
      <c r="E86" s="149">
        <f t="shared" si="68"/>
        <v>0</v>
      </c>
      <c r="F86" s="321"/>
      <c r="G86" s="322"/>
      <c r="H86" s="323"/>
      <c r="I86" s="145">
        <f t="shared" si="69"/>
        <v>0</v>
      </c>
      <c r="J86" s="321"/>
      <c r="K86" s="322"/>
      <c r="L86" s="323"/>
      <c r="M86" s="1079"/>
      <c r="N86" s="145">
        <f t="shared" si="71"/>
        <v>0</v>
      </c>
      <c r="O86" s="322"/>
      <c r="P86" s="323"/>
      <c r="Q86" s="1080"/>
    </row>
    <row r="87" spans="2:17" ht="15.4" customHeight="1">
      <c r="B87" s="558" t="s">
        <v>638</v>
      </c>
      <c r="C87" s="559" t="s">
        <v>23</v>
      </c>
      <c r="D87" s="1304">
        <f t="shared" si="64"/>
        <v>0</v>
      </c>
      <c r="E87" s="149">
        <f t="shared" si="68"/>
        <v>0</v>
      </c>
      <c r="F87" s="321"/>
      <c r="G87" s="322"/>
      <c r="H87" s="323"/>
      <c r="I87" s="145">
        <f t="shared" si="69"/>
        <v>0</v>
      </c>
      <c r="J87" s="321"/>
      <c r="K87" s="322"/>
      <c r="L87" s="323"/>
      <c r="M87" s="1079"/>
      <c r="N87" s="145">
        <f t="shared" si="71"/>
        <v>0</v>
      </c>
      <c r="O87" s="322"/>
      <c r="P87" s="323"/>
      <c r="Q87" s="1080"/>
    </row>
    <row r="88" spans="2:17" ht="15.4" customHeight="1">
      <c r="B88" s="558" t="s">
        <v>639</v>
      </c>
      <c r="C88" s="559" t="s">
        <v>640</v>
      </c>
      <c r="D88" s="1304">
        <f t="shared" si="64"/>
        <v>0</v>
      </c>
      <c r="E88" s="149">
        <f t="shared" si="68"/>
        <v>0</v>
      </c>
      <c r="F88" s="321"/>
      <c r="G88" s="322"/>
      <c r="H88" s="323"/>
      <c r="I88" s="145">
        <f t="shared" si="69"/>
        <v>0</v>
      </c>
      <c r="J88" s="321"/>
      <c r="K88" s="322"/>
      <c r="L88" s="323"/>
      <c r="M88" s="1079"/>
      <c r="N88" s="145">
        <f t="shared" si="71"/>
        <v>0</v>
      </c>
      <c r="O88" s="322"/>
      <c r="P88" s="323"/>
      <c r="Q88" s="1080"/>
    </row>
    <row r="89" spans="2:17" ht="15.4" customHeight="1">
      <c r="B89" s="556" t="s">
        <v>169</v>
      </c>
      <c r="C89" s="562" t="s">
        <v>27</v>
      </c>
      <c r="D89" s="1322">
        <f>D90</f>
        <v>0</v>
      </c>
      <c r="E89" s="149">
        <f t="shared" si="68"/>
        <v>0</v>
      </c>
      <c r="F89" s="146">
        <f>F90</f>
        <v>0</v>
      </c>
      <c r="G89" s="147">
        <f>G90</f>
        <v>0</v>
      </c>
      <c r="H89" s="148">
        <f>H90</f>
        <v>0</v>
      </c>
      <c r="I89" s="145">
        <f t="shared" si="69"/>
        <v>0</v>
      </c>
      <c r="J89" s="146">
        <f t="shared" ref="J89:Q89" si="75">J90</f>
        <v>0</v>
      </c>
      <c r="K89" s="147">
        <f t="shared" si="75"/>
        <v>0</v>
      </c>
      <c r="L89" s="148">
        <f t="shared" si="75"/>
        <v>0</v>
      </c>
      <c r="M89" s="1092">
        <f t="shared" si="75"/>
        <v>0</v>
      </c>
      <c r="N89" s="670">
        <f t="shared" si="71"/>
        <v>0</v>
      </c>
      <c r="O89" s="672">
        <f t="shared" ref="O89:P89" si="76">O90</f>
        <v>0</v>
      </c>
      <c r="P89" s="675">
        <f t="shared" si="76"/>
        <v>0</v>
      </c>
      <c r="Q89" s="149">
        <f t="shared" si="75"/>
        <v>0</v>
      </c>
    </row>
    <row r="90" spans="2:17" ht="15.4" customHeight="1">
      <c r="B90" s="558" t="s">
        <v>497</v>
      </c>
      <c r="C90" s="563" t="s">
        <v>641</v>
      </c>
      <c r="D90" s="1304">
        <f t="shared" ref="D90:D100" si="77">E90+I90+M90+N90+Q90</f>
        <v>0</v>
      </c>
      <c r="E90" s="149">
        <f t="shared" si="68"/>
        <v>0</v>
      </c>
      <c r="F90" s="321"/>
      <c r="G90" s="322"/>
      <c r="H90" s="323"/>
      <c r="I90" s="145">
        <f t="shared" si="69"/>
        <v>0</v>
      </c>
      <c r="J90" s="321"/>
      <c r="K90" s="322"/>
      <c r="L90" s="323"/>
      <c r="M90" s="1079"/>
      <c r="N90" s="145">
        <f t="shared" si="71"/>
        <v>0</v>
      </c>
      <c r="O90" s="322"/>
      <c r="P90" s="323"/>
      <c r="Q90" s="1080"/>
    </row>
    <row r="91" spans="2:17" ht="15.4" customHeight="1">
      <c r="B91" s="556" t="s">
        <v>171</v>
      </c>
      <c r="C91" s="562" t="s">
        <v>33</v>
      </c>
      <c r="D91" s="1304">
        <f t="shared" si="77"/>
        <v>0</v>
      </c>
      <c r="E91" s="149">
        <f t="shared" si="68"/>
        <v>0</v>
      </c>
      <c r="F91" s="146">
        <f>SUM(F92:F93)</f>
        <v>0</v>
      </c>
      <c r="G91" s="147">
        <f>SUM(G92:G93)</f>
        <v>0</v>
      </c>
      <c r="H91" s="148">
        <f>SUM(H92:H93)</f>
        <v>0</v>
      </c>
      <c r="I91" s="145">
        <f t="shared" si="69"/>
        <v>0</v>
      </c>
      <c r="J91" s="146">
        <f t="shared" ref="J91:M91" si="78">SUM(J92:J93)</f>
        <v>0</v>
      </c>
      <c r="K91" s="147">
        <f t="shared" si="78"/>
        <v>0</v>
      </c>
      <c r="L91" s="148">
        <f t="shared" si="78"/>
        <v>0</v>
      </c>
      <c r="M91" s="1092">
        <f t="shared" si="78"/>
        <v>0</v>
      </c>
      <c r="N91" s="145">
        <f t="shared" si="71"/>
        <v>0</v>
      </c>
      <c r="O91" s="147">
        <f t="shared" ref="O91:Q91" si="79">SUM(O92:O93)</f>
        <v>0</v>
      </c>
      <c r="P91" s="148">
        <f t="shared" si="79"/>
        <v>0</v>
      </c>
      <c r="Q91" s="149">
        <f t="shared" si="79"/>
        <v>0</v>
      </c>
    </row>
    <row r="92" spans="2:17" ht="15.4" customHeight="1">
      <c r="B92" s="558" t="s">
        <v>498</v>
      </c>
      <c r="C92" s="563" t="s">
        <v>595</v>
      </c>
      <c r="D92" s="1304">
        <f t="shared" si="77"/>
        <v>0</v>
      </c>
      <c r="E92" s="149">
        <f t="shared" si="68"/>
        <v>0</v>
      </c>
      <c r="F92" s="321"/>
      <c r="G92" s="322"/>
      <c r="H92" s="323"/>
      <c r="I92" s="145">
        <f t="shared" si="69"/>
        <v>0</v>
      </c>
      <c r="J92" s="321"/>
      <c r="K92" s="322"/>
      <c r="L92" s="323"/>
      <c r="M92" s="1079"/>
      <c r="N92" s="142">
        <f t="shared" si="71"/>
        <v>0</v>
      </c>
      <c r="O92" s="595"/>
      <c r="P92" s="598"/>
      <c r="Q92" s="1080"/>
    </row>
    <row r="93" spans="2:17" ht="28.15" customHeight="1">
      <c r="B93" s="558" t="s">
        <v>499</v>
      </c>
      <c r="C93" s="599" t="s">
        <v>597</v>
      </c>
      <c r="D93" s="1304">
        <f t="shared" si="77"/>
        <v>0</v>
      </c>
      <c r="E93" s="149">
        <f t="shared" si="68"/>
        <v>0</v>
      </c>
      <c r="F93" s="321"/>
      <c r="G93" s="322"/>
      <c r="H93" s="323"/>
      <c r="I93" s="145">
        <f t="shared" si="69"/>
        <v>0</v>
      </c>
      <c r="J93" s="321"/>
      <c r="K93" s="322"/>
      <c r="L93" s="323"/>
      <c r="M93" s="1079"/>
      <c r="N93" s="142">
        <f t="shared" si="71"/>
        <v>0</v>
      </c>
      <c r="O93" s="595"/>
      <c r="P93" s="598"/>
      <c r="Q93" s="1080"/>
    </row>
    <row r="94" spans="2:17" ht="15.4" customHeight="1">
      <c r="B94" s="556" t="s">
        <v>173</v>
      </c>
      <c r="C94" s="568" t="s">
        <v>39</v>
      </c>
      <c r="D94" s="1308">
        <f t="shared" si="77"/>
        <v>0</v>
      </c>
      <c r="E94" s="573">
        <f t="shared" si="68"/>
        <v>0</v>
      </c>
      <c r="F94" s="570">
        <f>SUM(F95:F96)</f>
        <v>0</v>
      </c>
      <c r="G94" s="571">
        <f>SUM(G95:G96)</f>
        <v>0</v>
      </c>
      <c r="H94" s="600">
        <f>SUM(H95:H96)</f>
        <v>0</v>
      </c>
      <c r="I94" s="569">
        <f t="shared" si="69"/>
        <v>0</v>
      </c>
      <c r="J94" s="570">
        <f t="shared" ref="J94:M94" si="80">SUM(J95:J96)</f>
        <v>0</v>
      </c>
      <c r="K94" s="571">
        <f t="shared" si="80"/>
        <v>0</v>
      </c>
      <c r="L94" s="600">
        <f t="shared" si="80"/>
        <v>0</v>
      </c>
      <c r="M94" s="1097">
        <f t="shared" si="80"/>
        <v>0</v>
      </c>
      <c r="N94" s="569">
        <f t="shared" si="71"/>
        <v>0</v>
      </c>
      <c r="O94" s="571">
        <f t="shared" ref="O94:Q94" si="81">SUM(O95:O96)</f>
        <v>0</v>
      </c>
      <c r="P94" s="600">
        <f t="shared" si="81"/>
        <v>0</v>
      </c>
      <c r="Q94" s="573">
        <f t="shared" si="81"/>
        <v>0</v>
      </c>
    </row>
    <row r="95" spans="2:17" ht="15.4" customHeight="1">
      <c r="B95" s="574" t="s">
        <v>642</v>
      </c>
      <c r="C95" s="575" t="s">
        <v>41</v>
      </c>
      <c r="D95" s="1309">
        <f t="shared" si="77"/>
        <v>0</v>
      </c>
      <c r="E95" s="149">
        <f t="shared" si="68"/>
        <v>0</v>
      </c>
      <c r="F95" s="321"/>
      <c r="G95" s="322"/>
      <c r="H95" s="323"/>
      <c r="I95" s="569">
        <f t="shared" si="69"/>
        <v>0</v>
      </c>
      <c r="J95" s="321"/>
      <c r="K95" s="322"/>
      <c r="L95" s="323"/>
      <c r="M95" s="1079"/>
      <c r="N95" s="305">
        <f t="shared" si="71"/>
        <v>0</v>
      </c>
      <c r="O95" s="602"/>
      <c r="P95" s="605"/>
      <c r="Q95" s="1080"/>
    </row>
    <row r="96" spans="2:17" ht="15.4" customHeight="1">
      <c r="B96" s="574" t="s">
        <v>643</v>
      </c>
      <c r="C96" s="579" t="s">
        <v>644</v>
      </c>
      <c r="D96" s="1308">
        <f t="shared" si="77"/>
        <v>0</v>
      </c>
      <c r="E96" s="149">
        <f t="shared" si="68"/>
        <v>0</v>
      </c>
      <c r="F96" s="321"/>
      <c r="G96" s="322"/>
      <c r="H96" s="323"/>
      <c r="I96" s="569">
        <f t="shared" si="69"/>
        <v>0</v>
      </c>
      <c r="J96" s="321"/>
      <c r="K96" s="322"/>
      <c r="L96" s="323"/>
      <c r="M96" s="1079"/>
      <c r="N96" s="569">
        <f t="shared" si="71"/>
        <v>0</v>
      </c>
      <c r="O96" s="607"/>
      <c r="P96" s="610"/>
      <c r="Q96" s="1080"/>
    </row>
    <row r="97" spans="2:17" ht="15.4" customHeight="1">
      <c r="B97" s="580" t="s">
        <v>175</v>
      </c>
      <c r="C97" s="581" t="s">
        <v>598</v>
      </c>
      <c r="D97" s="1308">
        <f t="shared" si="77"/>
        <v>0</v>
      </c>
      <c r="E97" s="573">
        <f t="shared" si="68"/>
        <v>0</v>
      </c>
      <c r="F97" s="570">
        <f>SUM(F98:F100)</f>
        <v>0</v>
      </c>
      <c r="G97" s="571">
        <f>SUM(G98:G100)</f>
        <v>0</v>
      </c>
      <c r="H97" s="600">
        <f>SUM(H98:H100)</f>
        <v>0</v>
      </c>
      <c r="I97" s="569">
        <f t="shared" si="69"/>
        <v>0</v>
      </c>
      <c r="J97" s="570">
        <f t="shared" ref="J97:M97" si="82">SUM(J98:J100)</f>
        <v>0</v>
      </c>
      <c r="K97" s="571">
        <f t="shared" si="82"/>
        <v>0</v>
      </c>
      <c r="L97" s="600">
        <f t="shared" si="82"/>
        <v>0</v>
      </c>
      <c r="M97" s="1097">
        <f t="shared" si="82"/>
        <v>0</v>
      </c>
      <c r="N97" s="569">
        <f t="shared" si="71"/>
        <v>0</v>
      </c>
      <c r="O97" s="571">
        <f t="shared" ref="O97:Q97" si="83">SUM(O98:O100)</f>
        <v>0</v>
      </c>
      <c r="P97" s="600">
        <f t="shared" si="83"/>
        <v>0</v>
      </c>
      <c r="Q97" s="573">
        <f t="shared" si="83"/>
        <v>0</v>
      </c>
    </row>
    <row r="98" spans="2:17" ht="15.4" customHeight="1">
      <c r="B98" s="582" t="s">
        <v>503</v>
      </c>
      <c r="C98" s="1314" t="s">
        <v>599</v>
      </c>
      <c r="D98" s="1308">
        <f t="shared" si="77"/>
        <v>0</v>
      </c>
      <c r="E98" s="149">
        <f t="shared" si="68"/>
        <v>0</v>
      </c>
      <c r="F98" s="321"/>
      <c r="G98" s="322"/>
      <c r="H98" s="323"/>
      <c r="I98" s="569">
        <f t="shared" si="69"/>
        <v>0</v>
      </c>
      <c r="J98" s="321"/>
      <c r="K98" s="322"/>
      <c r="L98" s="323"/>
      <c r="M98" s="1079"/>
      <c r="N98" s="569">
        <f t="shared" si="71"/>
        <v>0</v>
      </c>
      <c r="O98" s="607"/>
      <c r="P98" s="610"/>
      <c r="Q98" s="1080"/>
    </row>
    <row r="99" spans="2:17" ht="15.4" customHeight="1">
      <c r="B99" s="574" t="s">
        <v>504</v>
      </c>
      <c r="C99" s="1314" t="s">
        <v>599</v>
      </c>
      <c r="D99" s="1308">
        <f t="shared" si="77"/>
        <v>0</v>
      </c>
      <c r="E99" s="149">
        <f t="shared" si="68"/>
        <v>0</v>
      </c>
      <c r="F99" s="321"/>
      <c r="G99" s="322"/>
      <c r="H99" s="323"/>
      <c r="I99" s="569">
        <f t="shared" si="69"/>
        <v>0</v>
      </c>
      <c r="J99" s="321"/>
      <c r="K99" s="322"/>
      <c r="L99" s="323"/>
      <c r="M99" s="1079"/>
      <c r="N99" s="569">
        <f t="shared" si="71"/>
        <v>0</v>
      </c>
      <c r="O99" s="607"/>
      <c r="P99" s="610"/>
      <c r="Q99" s="1080"/>
    </row>
    <row r="100" spans="2:17" ht="15.4" customHeight="1">
      <c r="B100" s="620" t="s">
        <v>505</v>
      </c>
      <c r="C100" s="1323" t="s">
        <v>599</v>
      </c>
      <c r="D100" s="1324">
        <f t="shared" si="77"/>
        <v>0</v>
      </c>
      <c r="E100" s="494">
        <f t="shared" si="68"/>
        <v>0</v>
      </c>
      <c r="F100" s="1325"/>
      <c r="G100" s="1326"/>
      <c r="H100" s="1327"/>
      <c r="I100" s="1328">
        <f t="shared" si="69"/>
        <v>0</v>
      </c>
      <c r="J100" s="1325"/>
      <c r="K100" s="1326"/>
      <c r="L100" s="1327"/>
      <c r="M100" s="1329"/>
      <c r="N100" s="1328">
        <f t="shared" si="71"/>
        <v>0</v>
      </c>
      <c r="O100" s="1330"/>
      <c r="P100" s="1331"/>
      <c r="Q100" s="1332"/>
    </row>
  </sheetData>
  <sheetProtection password="F757" sheet="1" objects="1" scenarios="1"/>
  <mergeCells count="5">
    <mergeCell ref="B8:Q8"/>
    <mergeCell ref="A1:Q1"/>
    <mergeCell ref="A2:Q2"/>
    <mergeCell ref="A3:Q3"/>
    <mergeCell ref="A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4" zoomScale="93" zoomScaleNormal="93" workbookViewId="0">
      <selection activeCell="D28" sqref="D28"/>
    </sheetView>
  </sheetViews>
  <sheetFormatPr defaultRowHeight="1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c r="A1" s="1347" t="s">
        <v>0</v>
      </c>
      <c r="B1" s="1348"/>
      <c r="C1" s="1348"/>
      <c r="D1" s="1349"/>
    </row>
    <row r="2" spans="1:4">
      <c r="A2" s="1347" t="s">
        <v>1</v>
      </c>
      <c r="B2" s="1348"/>
      <c r="C2" s="1348"/>
      <c r="D2" s="1349"/>
    </row>
    <row r="3" spans="1:4">
      <c r="A3" s="1350"/>
      <c r="B3" s="1351"/>
      <c r="C3" s="1351"/>
      <c r="D3" s="1352"/>
    </row>
    <row r="4" spans="1:4">
      <c r="A4" s="31"/>
      <c r="B4" s="31"/>
      <c r="C4" s="31"/>
      <c r="D4" s="31"/>
    </row>
    <row r="5" spans="1:4">
      <c r="A5" s="1353" t="s">
        <v>44</v>
      </c>
      <c r="B5" s="1354"/>
      <c r="C5" s="1354"/>
      <c r="D5" s="1355"/>
    </row>
    <row r="6" spans="1:4">
      <c r="A6" s="1345" t="s">
        <v>45</v>
      </c>
      <c r="B6" s="1346"/>
      <c r="C6" s="1346"/>
      <c r="D6" s="1346"/>
    </row>
    <row r="7" spans="1:4">
      <c r="A7" s="1346"/>
      <c r="B7" s="1346"/>
      <c r="C7" s="1346"/>
      <c r="D7" s="1346"/>
    </row>
    <row r="8" spans="1:4">
      <c r="A8" s="31"/>
      <c r="B8" s="31"/>
      <c r="C8" s="31"/>
      <c r="D8" s="31"/>
    </row>
    <row r="9" spans="1:4" ht="48.75" customHeight="1" thickBot="1">
      <c r="B9" s="1344" t="s">
        <v>46</v>
      </c>
      <c r="C9" s="1344"/>
      <c r="D9" s="1344"/>
    </row>
    <row r="10" spans="1:4" ht="35.25" customHeight="1" thickBot="1">
      <c r="B10" s="32" t="s">
        <v>47</v>
      </c>
      <c r="C10" s="32" t="s">
        <v>48</v>
      </c>
      <c r="D10" s="33" t="s">
        <v>49</v>
      </c>
    </row>
    <row r="11" spans="1:4" ht="15.75" thickBot="1">
      <c r="B11" s="34"/>
      <c r="C11" s="32" t="s">
        <v>50</v>
      </c>
      <c r="D11" s="35"/>
    </row>
    <row r="12" spans="1:4">
      <c r="B12" s="36" t="s">
        <v>51</v>
      </c>
      <c r="C12" s="36" t="s">
        <v>52</v>
      </c>
      <c r="D12" s="37">
        <v>20877.97</v>
      </c>
    </row>
    <row r="13" spans="1:4">
      <c r="B13" s="38" t="s">
        <v>53</v>
      </c>
      <c r="C13" s="38" t="s">
        <v>54</v>
      </c>
      <c r="D13" s="37">
        <v>413.33</v>
      </c>
    </row>
    <row r="14" spans="1:4" ht="17.25" customHeight="1">
      <c r="B14" s="38" t="s">
        <v>55</v>
      </c>
      <c r="C14" s="38" t="s">
        <v>56</v>
      </c>
      <c r="D14" s="37">
        <v>375.01</v>
      </c>
    </row>
    <row r="15" spans="1:4">
      <c r="B15" s="38" t="s">
        <v>57</v>
      </c>
      <c r="C15" s="38" t="s">
        <v>58</v>
      </c>
      <c r="D15" s="37">
        <v>214.84</v>
      </c>
    </row>
    <row r="16" spans="1:4" ht="20.25" customHeight="1" thickBot="1">
      <c r="B16" s="39" t="s">
        <v>59</v>
      </c>
      <c r="C16" s="39" t="s">
        <v>60</v>
      </c>
      <c r="D16" s="37">
        <v>1.81</v>
      </c>
    </row>
    <row r="17" spans="2:5">
      <c r="B17" s="40"/>
      <c r="C17" s="40" t="s">
        <v>61</v>
      </c>
      <c r="D17" s="41">
        <f>SUM(D12:D13,D16)</f>
        <v>21293.110000000004</v>
      </c>
      <c r="E17" s="42"/>
    </row>
    <row r="18" spans="2:5" ht="15.75" thickBot="1">
      <c r="B18" s="32"/>
      <c r="C18" s="32" t="s">
        <v>62</v>
      </c>
      <c r="D18" s="43"/>
    </row>
    <row r="19" spans="2:5">
      <c r="B19" s="36" t="s">
        <v>63</v>
      </c>
      <c r="C19" s="36" t="s">
        <v>64</v>
      </c>
      <c r="D19" s="37">
        <v>6623.59</v>
      </c>
    </row>
    <row r="20" spans="2:5">
      <c r="B20" s="38" t="s">
        <v>65</v>
      </c>
      <c r="C20" s="38" t="s">
        <v>66</v>
      </c>
      <c r="D20" s="37">
        <v>7701</v>
      </c>
    </row>
    <row r="21" spans="2:5" ht="21" customHeight="1">
      <c r="B21" s="38" t="s">
        <v>67</v>
      </c>
      <c r="C21" s="38" t="s">
        <v>68</v>
      </c>
      <c r="D21" s="37">
        <v>7701</v>
      </c>
    </row>
    <row r="22" spans="2:5">
      <c r="B22" s="38" t="s">
        <v>69</v>
      </c>
      <c r="C22" s="38" t="s">
        <v>70</v>
      </c>
      <c r="D22" s="37">
        <v>0.24</v>
      </c>
    </row>
    <row r="23" spans="2:5">
      <c r="B23" s="38" t="s">
        <v>71</v>
      </c>
      <c r="C23" s="38" t="s">
        <v>72</v>
      </c>
      <c r="D23" s="37">
        <v>0</v>
      </c>
    </row>
    <row r="24" spans="2:5">
      <c r="B24" s="38" t="s">
        <v>73</v>
      </c>
      <c r="C24" s="38" t="s">
        <v>74</v>
      </c>
      <c r="D24" s="37">
        <v>58.45</v>
      </c>
    </row>
    <row r="25" spans="2:5">
      <c r="B25" s="38" t="s">
        <v>75</v>
      </c>
      <c r="C25" s="38" t="s">
        <v>76</v>
      </c>
      <c r="D25" s="37">
        <v>-1136.0999999999999</v>
      </c>
    </row>
    <row r="26" spans="2:5">
      <c r="B26" s="38" t="s">
        <v>77</v>
      </c>
      <c r="C26" s="38" t="s">
        <v>78</v>
      </c>
      <c r="D26" s="37">
        <v>14161.77</v>
      </c>
    </row>
    <row r="27" spans="2:5">
      <c r="B27" s="38" t="s">
        <v>79</v>
      </c>
      <c r="C27" s="38" t="s">
        <v>80</v>
      </c>
      <c r="D27" s="37">
        <v>0</v>
      </c>
    </row>
    <row r="28" spans="2:5" ht="16.5" customHeight="1">
      <c r="B28" s="38" t="s">
        <v>81</v>
      </c>
      <c r="C28" s="38" t="s">
        <v>82</v>
      </c>
      <c r="D28" s="37">
        <v>507.75</v>
      </c>
    </row>
    <row r="29" spans="2:5" ht="25.5" customHeight="1">
      <c r="B29" s="38" t="s">
        <v>83</v>
      </c>
      <c r="C29" s="38" t="s">
        <v>84</v>
      </c>
      <c r="D29" s="37">
        <v>0</v>
      </c>
    </row>
    <row r="30" spans="2:5" ht="26.25" customHeight="1">
      <c r="B30" s="38" t="s">
        <v>85</v>
      </c>
      <c r="C30" s="38" t="s">
        <v>86</v>
      </c>
      <c r="D30" s="37">
        <v>507.75</v>
      </c>
    </row>
    <row r="31" spans="2:5" ht="27" customHeight="1" thickBot="1">
      <c r="B31" s="39" t="s">
        <v>87</v>
      </c>
      <c r="C31" s="39" t="s">
        <v>88</v>
      </c>
      <c r="D31" s="37">
        <v>0</v>
      </c>
    </row>
    <row r="32" spans="2:5" ht="21" customHeight="1">
      <c r="B32" s="40"/>
      <c r="C32" s="40" t="s">
        <v>89</v>
      </c>
      <c r="D32" s="41">
        <f>SUM(D19,D26:D28,D31)</f>
        <v>21293.11</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6"/>
  <sheetViews>
    <sheetView topLeftCell="A34" zoomScale="112" zoomScaleNormal="112" workbookViewId="0">
      <selection activeCell="D49" sqref="D49"/>
    </sheetView>
  </sheetViews>
  <sheetFormatPr defaultColWidth="9.140625" defaultRowHeight="1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c r="A1" s="1356" t="s">
        <v>0</v>
      </c>
      <c r="B1" s="1357"/>
      <c r="C1" s="1357"/>
      <c r="D1" s="1357"/>
      <c r="E1" s="1357"/>
      <c r="F1" s="1357"/>
      <c r="G1" s="1357"/>
      <c r="H1" s="1357"/>
      <c r="I1" s="1357"/>
      <c r="J1" s="1357"/>
      <c r="K1" s="1357"/>
      <c r="L1" s="1358"/>
    </row>
    <row r="2" spans="1:12">
      <c r="A2" s="1356" t="s">
        <v>1</v>
      </c>
      <c r="B2" s="1357"/>
      <c r="C2" s="1357"/>
      <c r="D2" s="1357"/>
      <c r="E2" s="1357"/>
      <c r="F2" s="1357"/>
      <c r="G2" s="1357"/>
      <c r="H2" s="1357"/>
      <c r="I2" s="1357"/>
      <c r="J2" s="1357"/>
      <c r="K2" s="1357"/>
      <c r="L2" s="1358"/>
    </row>
    <row r="3" spans="1:12">
      <c r="A3" s="1359"/>
      <c r="B3" s="1360"/>
      <c r="C3" s="1360"/>
      <c r="D3" s="1360"/>
      <c r="E3" s="1360"/>
      <c r="F3" s="1360"/>
      <c r="G3" s="1360"/>
      <c r="H3" s="1360"/>
      <c r="I3" s="1360"/>
      <c r="J3" s="1360"/>
      <c r="K3" s="1360"/>
      <c r="L3" s="1361"/>
    </row>
    <row r="4" spans="1:12">
      <c r="A4" s="46"/>
      <c r="B4" s="46"/>
      <c r="C4" s="46"/>
      <c r="D4" s="46"/>
      <c r="E4" s="46"/>
      <c r="F4" s="46"/>
      <c r="G4" s="47"/>
      <c r="H4" s="47"/>
      <c r="I4" s="46"/>
      <c r="J4" s="46"/>
      <c r="K4" s="46"/>
      <c r="L4" s="46"/>
    </row>
    <row r="5" spans="1:12">
      <c r="A5" s="1362" t="s">
        <v>90</v>
      </c>
      <c r="B5" s="1363"/>
      <c r="C5" s="1363"/>
      <c r="D5" s="1363"/>
      <c r="E5" s="1363"/>
      <c r="F5" s="1363"/>
      <c r="G5" s="1363"/>
      <c r="H5" s="1363"/>
      <c r="I5" s="1363"/>
      <c r="J5" s="1363"/>
      <c r="K5" s="1363"/>
      <c r="L5" s="1364"/>
    </row>
    <row r="6" spans="1:12">
      <c r="A6" s="46"/>
      <c r="B6" s="46"/>
      <c r="C6" s="46"/>
      <c r="D6" s="46"/>
      <c r="E6" s="46"/>
      <c r="F6" s="46"/>
      <c r="G6" s="47"/>
      <c r="H6" s="47"/>
      <c r="I6" s="46"/>
      <c r="J6" s="46"/>
      <c r="K6" s="46"/>
      <c r="L6" s="46"/>
    </row>
    <row r="8" spans="1:12" ht="19.5" customHeight="1" thickBot="1">
      <c r="B8" s="1334" t="s">
        <v>91</v>
      </c>
      <c r="C8" s="1334"/>
      <c r="D8" s="1334"/>
      <c r="E8" s="1334"/>
    </row>
    <row r="9" spans="1:12" ht="15.75" thickBot="1">
      <c r="B9" s="48" t="s">
        <v>4</v>
      </c>
      <c r="C9" s="49" t="s">
        <v>92</v>
      </c>
      <c r="D9" s="50" t="s">
        <v>49</v>
      </c>
      <c r="E9" s="51" t="s">
        <v>93</v>
      </c>
    </row>
    <row r="10" spans="1:12" ht="15.75" thickBot="1">
      <c r="B10" s="52" t="s">
        <v>7</v>
      </c>
      <c r="C10" s="53" t="s">
        <v>94</v>
      </c>
      <c r="D10" s="54"/>
      <c r="E10" s="55"/>
    </row>
    <row r="11" spans="1:12" ht="24.75" thickBot="1">
      <c r="B11" s="52" t="s">
        <v>51</v>
      </c>
      <c r="C11" s="53" t="s">
        <v>95</v>
      </c>
      <c r="D11" s="56">
        <f>D12+D15+D27</f>
        <v>1372.5817200000001</v>
      </c>
      <c r="E11" s="57"/>
      <c r="I11" s="58"/>
    </row>
    <row r="12" spans="1:12">
      <c r="B12" s="59" t="s">
        <v>96</v>
      </c>
      <c r="C12" s="60" t="s">
        <v>97</v>
      </c>
      <c r="D12" s="61">
        <f>SUM(D13:D14)</f>
        <v>578.63724000000002</v>
      </c>
      <c r="E12" s="62"/>
    </row>
    <row r="13" spans="1:12">
      <c r="B13" s="63" t="s">
        <v>98</v>
      </c>
      <c r="C13" s="64" t="s">
        <v>99</v>
      </c>
      <c r="D13" s="65">
        <v>578.63724000000002</v>
      </c>
      <c r="E13" s="66"/>
    </row>
    <row r="14" spans="1:12" ht="15.75" thickBot="1">
      <c r="B14" s="67" t="s">
        <v>100</v>
      </c>
      <c r="C14" s="68" t="s">
        <v>101</v>
      </c>
      <c r="D14" s="69">
        <v>0</v>
      </c>
      <c r="E14" s="70"/>
    </row>
    <row r="15" spans="1:12">
      <c r="B15" s="59" t="s">
        <v>102</v>
      </c>
      <c r="C15" s="60" t="s">
        <v>103</v>
      </c>
      <c r="D15" s="61">
        <f>D16+D19+D23</f>
        <v>779.71829000000002</v>
      </c>
      <c r="E15" s="62"/>
    </row>
    <row r="16" spans="1:12" ht="17.25" customHeight="1">
      <c r="B16" s="71" t="s">
        <v>104</v>
      </c>
      <c r="C16" s="72" t="s">
        <v>105</v>
      </c>
      <c r="D16" s="73">
        <f>IFERROR(SUM(D17:D18)+D28*(D43/D42), 0)</f>
        <v>335.43578000000002</v>
      </c>
      <c r="E16" s="66"/>
    </row>
    <row r="17" spans="2:12">
      <c r="B17" s="63" t="s">
        <v>106</v>
      </c>
      <c r="C17" s="64" t="s">
        <v>107</v>
      </c>
      <c r="D17" s="65">
        <v>335.43578000000002</v>
      </c>
      <c r="E17" s="66"/>
    </row>
    <row r="18" spans="2:12">
      <c r="B18" s="63" t="s">
        <v>108</v>
      </c>
      <c r="C18" s="64" t="s">
        <v>101</v>
      </c>
      <c r="D18" s="65">
        <v>0</v>
      </c>
      <c r="E18" s="66"/>
      <c r="L18" s="44" t="s">
        <v>109</v>
      </c>
    </row>
    <row r="19" spans="2:12">
      <c r="B19" s="71" t="s">
        <v>110</v>
      </c>
      <c r="C19" s="72" t="s">
        <v>111</v>
      </c>
      <c r="D19" s="73">
        <f>IFERROR(SUM(D20:D22)+D28*(D44/D42), 0)</f>
        <v>386.20873</v>
      </c>
      <c r="E19" s="66"/>
    </row>
    <row r="20" spans="2:12">
      <c r="B20" s="63" t="s">
        <v>112</v>
      </c>
      <c r="C20" s="64" t="s">
        <v>113</v>
      </c>
      <c r="D20" s="65">
        <v>386.20873</v>
      </c>
      <c r="E20" s="66"/>
    </row>
    <row r="21" spans="2:12">
      <c r="B21" s="63" t="s">
        <v>114</v>
      </c>
      <c r="C21" s="64" t="s">
        <v>115</v>
      </c>
      <c r="D21" s="65">
        <v>0</v>
      </c>
      <c r="E21" s="66"/>
    </row>
    <row r="22" spans="2:12">
      <c r="B22" s="63" t="s">
        <v>116</v>
      </c>
      <c r="C22" s="64" t="s">
        <v>101</v>
      </c>
      <c r="D22" s="65">
        <v>0</v>
      </c>
      <c r="E22" s="66"/>
    </row>
    <row r="23" spans="2:12">
      <c r="B23" s="71" t="s">
        <v>117</v>
      </c>
      <c r="C23" s="72" t="s">
        <v>118</v>
      </c>
      <c r="D23" s="73">
        <f>IFERROR(SUM(D24:D26)+D28*(D45/D42), 0)</f>
        <v>58.073779999999999</v>
      </c>
      <c r="E23" s="66"/>
    </row>
    <row r="24" spans="2:12">
      <c r="B24" s="63" t="s">
        <v>119</v>
      </c>
      <c r="C24" s="64" t="s">
        <v>120</v>
      </c>
      <c r="D24" s="65">
        <v>58.073779999999999</v>
      </c>
      <c r="E24" s="66"/>
    </row>
    <row r="25" spans="2:12">
      <c r="B25" s="63" t="s">
        <v>121</v>
      </c>
      <c r="C25" s="64" t="s">
        <v>122</v>
      </c>
      <c r="D25" s="65">
        <v>0</v>
      </c>
      <c r="E25" s="66"/>
    </row>
    <row r="26" spans="2:12" ht="15.75" thickBot="1">
      <c r="B26" s="67" t="s">
        <v>123</v>
      </c>
      <c r="C26" s="68" t="s">
        <v>101</v>
      </c>
      <c r="D26" s="69">
        <v>0</v>
      </c>
      <c r="E26" s="70"/>
    </row>
    <row r="27" spans="2:12">
      <c r="B27" s="59" t="s">
        <v>124</v>
      </c>
      <c r="C27" s="60" t="s">
        <v>125</v>
      </c>
      <c r="D27" s="74">
        <f>SUM(D29+D30)</f>
        <v>14.226190000000001</v>
      </c>
      <c r="E27" s="62"/>
    </row>
    <row r="28" spans="2:12">
      <c r="B28" s="63" t="s">
        <v>126</v>
      </c>
      <c r="C28" s="64" t="s">
        <v>127</v>
      </c>
      <c r="D28" s="65">
        <v>0</v>
      </c>
      <c r="E28" s="66"/>
    </row>
    <row r="29" spans="2:12">
      <c r="B29" s="63" t="s">
        <v>128</v>
      </c>
      <c r="C29" s="64" t="s">
        <v>129</v>
      </c>
      <c r="D29" s="65">
        <v>14.226190000000001</v>
      </c>
      <c r="E29" s="66"/>
    </row>
    <row r="30" spans="2:12" ht="15.75" thickBot="1">
      <c r="B30" s="63" t="s">
        <v>130</v>
      </c>
      <c r="C30" s="68" t="s">
        <v>101</v>
      </c>
      <c r="D30" s="69">
        <v>0</v>
      </c>
      <c r="E30" s="70"/>
    </row>
    <row r="31" spans="2:12">
      <c r="B31" s="59" t="s">
        <v>53</v>
      </c>
      <c r="C31" s="75" t="s">
        <v>131</v>
      </c>
      <c r="D31" s="61">
        <f>D32+D36</f>
        <v>302.48117000000002</v>
      </c>
      <c r="E31" s="62"/>
    </row>
    <row r="32" spans="2:12">
      <c r="B32" s="71" t="s">
        <v>55</v>
      </c>
      <c r="C32" s="72" t="s">
        <v>132</v>
      </c>
      <c r="D32" s="73">
        <f>SUM(D33:D35)</f>
        <v>172.40235999999999</v>
      </c>
      <c r="E32" s="66"/>
    </row>
    <row r="33" spans="2:9">
      <c r="B33" s="63" t="s">
        <v>133</v>
      </c>
      <c r="C33" s="64" t="s">
        <v>134</v>
      </c>
      <c r="D33" s="65">
        <v>172.40235999999999</v>
      </c>
      <c r="E33" s="66"/>
    </row>
    <row r="34" spans="2:9">
      <c r="B34" s="63" t="s">
        <v>135</v>
      </c>
      <c r="C34" s="64" t="s">
        <v>136</v>
      </c>
      <c r="D34" s="65">
        <v>0</v>
      </c>
      <c r="E34" s="66"/>
    </row>
    <row r="35" spans="2:9">
      <c r="B35" s="63" t="s">
        <v>137</v>
      </c>
      <c r="C35" s="64" t="s">
        <v>101</v>
      </c>
      <c r="D35" s="65">
        <v>0</v>
      </c>
      <c r="E35" s="66"/>
    </row>
    <row r="36" spans="2:9">
      <c r="B36" s="71" t="s">
        <v>138</v>
      </c>
      <c r="C36" s="72" t="s">
        <v>139</v>
      </c>
      <c r="D36" s="73">
        <f>SUM(D37:D38)</f>
        <v>130.07881</v>
      </c>
      <c r="E36" s="66"/>
    </row>
    <row r="37" spans="2:9">
      <c r="B37" s="63" t="s">
        <v>140</v>
      </c>
      <c r="C37" s="64" t="s">
        <v>141</v>
      </c>
      <c r="D37" s="76">
        <v>130.07881</v>
      </c>
      <c r="E37" s="66"/>
    </row>
    <row r="38" spans="2:9" ht="15.75" thickBot="1">
      <c r="B38" s="67" t="s">
        <v>142</v>
      </c>
      <c r="C38" s="68" t="s">
        <v>101</v>
      </c>
      <c r="D38" s="69">
        <v>0</v>
      </c>
      <c r="E38" s="70"/>
    </row>
    <row r="39" spans="2:9" ht="15.75" thickBot="1">
      <c r="B39" s="77" t="s">
        <v>143</v>
      </c>
      <c r="C39" s="78" t="s">
        <v>144</v>
      </c>
      <c r="D39" s="79">
        <f>D40+D47</f>
        <v>1686.34573</v>
      </c>
      <c r="E39" s="80" t="s">
        <v>145</v>
      </c>
      <c r="F39" s="81"/>
      <c r="I39" s="58"/>
    </row>
    <row r="40" spans="2:9" ht="24">
      <c r="B40" s="59" t="s">
        <v>59</v>
      </c>
      <c r="C40" s="75" t="s">
        <v>146</v>
      </c>
      <c r="D40" s="82">
        <f>D41+D42+D46</f>
        <v>1499.27109682687</v>
      </c>
      <c r="E40" s="62" t="s">
        <v>145</v>
      </c>
      <c r="F40" s="81"/>
      <c r="I40" s="58"/>
    </row>
    <row r="41" spans="2:9">
      <c r="B41" s="63" t="s">
        <v>147</v>
      </c>
      <c r="C41" s="83" t="s">
        <v>148</v>
      </c>
      <c r="D41" s="84">
        <f>VAS073_F_Visospaskirsto13IsViso</f>
        <v>620.97306153203351</v>
      </c>
      <c r="E41" s="66" t="s">
        <v>145</v>
      </c>
    </row>
    <row r="42" spans="2:9">
      <c r="B42" s="63" t="s">
        <v>149</v>
      </c>
      <c r="C42" s="83" t="s">
        <v>150</v>
      </c>
      <c r="D42" s="84">
        <f>VAS073_F_Visospaskirsto14IsViso</f>
        <v>848.37627386397287</v>
      </c>
      <c r="E42" s="66" t="s">
        <v>145</v>
      </c>
    </row>
    <row r="43" spans="2:9" s="1" customFormat="1">
      <c r="B43" s="85" t="s">
        <v>151</v>
      </c>
      <c r="C43" s="86" t="s">
        <v>152</v>
      </c>
      <c r="D43" s="87">
        <f>VAS073_F_Visospaskirsto141NuotekuSurinkimas</f>
        <v>386.61519259848234</v>
      </c>
      <c r="E43" s="88" t="s">
        <v>145</v>
      </c>
      <c r="G43" s="89"/>
      <c r="H43" s="89"/>
    </row>
    <row r="44" spans="2:9" s="1" customFormat="1">
      <c r="B44" s="85" t="s">
        <v>153</v>
      </c>
      <c r="C44" s="86" t="s">
        <v>154</v>
      </c>
      <c r="D44" s="87">
        <f>VAS073_F_Visospaskirsto142NuotekuValymas</f>
        <v>377.37668641837485</v>
      </c>
      <c r="E44" s="88" t="s">
        <v>145</v>
      </c>
      <c r="G44" s="89"/>
      <c r="H44" s="89"/>
    </row>
    <row r="45" spans="2:9" s="1" customFormat="1">
      <c r="B45" s="85" t="s">
        <v>155</v>
      </c>
      <c r="C45" s="86" t="s">
        <v>156</v>
      </c>
      <c r="D45" s="87">
        <f>VAS073_F_Visospaskirsto143NuotekuDumblo</f>
        <v>84.3843948471158</v>
      </c>
      <c r="E45" s="88" t="s">
        <v>145</v>
      </c>
      <c r="G45" s="89"/>
      <c r="H45" s="89"/>
    </row>
    <row r="46" spans="2:9" ht="15.75" thickBot="1">
      <c r="B46" s="67" t="s">
        <v>157</v>
      </c>
      <c r="C46" s="83" t="s">
        <v>158</v>
      </c>
      <c r="D46" s="84">
        <f>VAS073_F_Visospaskirsto15PavirsiniuNuoteku</f>
        <v>29.921761430863597</v>
      </c>
      <c r="E46" s="66" t="s">
        <v>145</v>
      </c>
    </row>
    <row r="47" spans="2:9">
      <c r="B47" s="59" t="s">
        <v>63</v>
      </c>
      <c r="C47" s="75" t="s">
        <v>159</v>
      </c>
      <c r="D47" s="82">
        <f>SUM(D48:D50)</f>
        <v>187.07463317312991</v>
      </c>
      <c r="E47" s="62" t="s">
        <v>145</v>
      </c>
      <c r="I47" s="58"/>
    </row>
    <row r="48" spans="2:9">
      <c r="B48" s="63" t="s">
        <v>65</v>
      </c>
      <c r="C48" s="83" t="s">
        <v>160</v>
      </c>
      <c r="D48" s="84">
        <f>VAS073_F_Visospaskirsto1Apskaitosveikla1</f>
        <v>170.08953853966895</v>
      </c>
      <c r="E48" s="66" t="s">
        <v>145</v>
      </c>
      <c r="I48" s="58"/>
    </row>
    <row r="49" spans="2:9">
      <c r="B49" s="63" t="s">
        <v>69</v>
      </c>
      <c r="C49" s="83" t="s">
        <v>161</v>
      </c>
      <c r="D49" s="84">
        <f>VAS073_F_Visospaskirsto1Kitareguliuoja1</f>
        <v>0</v>
      </c>
      <c r="E49" s="66" t="s">
        <v>145</v>
      </c>
      <c r="G49" s="90"/>
      <c r="H49" s="90"/>
    </row>
    <row r="50" spans="2:9" ht="15.75" thickBot="1">
      <c r="B50" s="67" t="s">
        <v>71</v>
      </c>
      <c r="C50" s="91" t="s">
        <v>162</v>
      </c>
      <c r="D50" s="92">
        <f>VAS073_F_Visospaskirsto17KitosVeiklos</f>
        <v>16.985094633460953</v>
      </c>
      <c r="E50" s="70" t="s">
        <v>145</v>
      </c>
    </row>
    <row r="51" spans="2:9">
      <c r="B51" s="59" t="s">
        <v>163</v>
      </c>
      <c r="C51" s="93" t="s">
        <v>164</v>
      </c>
      <c r="D51" s="82">
        <f>SUM(D52:D71)</f>
        <v>102.32485</v>
      </c>
      <c r="E51" s="62"/>
      <c r="I51" s="58"/>
    </row>
    <row r="52" spans="2:9">
      <c r="B52" s="94" t="s">
        <v>165</v>
      </c>
      <c r="C52" s="95" t="s">
        <v>166</v>
      </c>
      <c r="D52" s="96">
        <v>2.20675</v>
      </c>
      <c r="E52" s="97"/>
    </row>
    <row r="53" spans="2:9" ht="51.75">
      <c r="B53" s="98" t="s">
        <v>167</v>
      </c>
      <c r="C53" s="95" t="s">
        <v>168</v>
      </c>
      <c r="D53" s="96">
        <v>0</v>
      </c>
      <c r="E53" s="97"/>
      <c r="G53" s="90"/>
      <c r="H53" s="90"/>
    </row>
    <row r="54" spans="2:9">
      <c r="B54" s="98" t="s">
        <v>169</v>
      </c>
      <c r="C54" s="95" t="s">
        <v>170</v>
      </c>
      <c r="D54" s="96">
        <v>0</v>
      </c>
      <c r="E54" s="97"/>
    </row>
    <row r="55" spans="2:9" ht="30.75" customHeight="1">
      <c r="B55" s="98" t="s">
        <v>171</v>
      </c>
      <c r="C55" s="95" t="s">
        <v>172</v>
      </c>
      <c r="D55" s="96">
        <v>2.1286100000000001</v>
      </c>
      <c r="E55" s="97"/>
    </row>
    <row r="56" spans="2:9">
      <c r="B56" s="98" t="s">
        <v>173</v>
      </c>
      <c r="C56" s="95" t="s">
        <v>174</v>
      </c>
      <c r="D56" s="96">
        <v>4.7473400000000003</v>
      </c>
      <c r="E56" s="97"/>
    </row>
    <row r="57" spans="2:9" ht="26.25">
      <c r="B57" s="98" t="s">
        <v>175</v>
      </c>
      <c r="C57" s="95" t="s">
        <v>176</v>
      </c>
      <c r="D57" s="96">
        <v>0</v>
      </c>
      <c r="E57" s="97"/>
    </row>
    <row r="58" spans="2:9" ht="26.25">
      <c r="B58" s="98" t="s">
        <v>177</v>
      </c>
      <c r="C58" s="95" t="s">
        <v>178</v>
      </c>
      <c r="D58" s="96">
        <v>0</v>
      </c>
      <c r="E58" s="97"/>
    </row>
    <row r="59" spans="2:9" ht="90">
      <c r="B59" s="98" t="s">
        <v>179</v>
      </c>
      <c r="C59" s="95" t="s">
        <v>180</v>
      </c>
      <c r="D59" s="96">
        <v>0</v>
      </c>
      <c r="E59" s="99"/>
    </row>
    <row r="60" spans="2:9">
      <c r="B60" s="98" t="s">
        <v>181</v>
      </c>
      <c r="C60" s="95" t="s">
        <v>182</v>
      </c>
      <c r="D60" s="96">
        <v>0</v>
      </c>
      <c r="E60" s="97"/>
    </row>
    <row r="61" spans="2:9" ht="44.25" customHeight="1">
      <c r="B61" s="98" t="s">
        <v>183</v>
      </c>
      <c r="C61" s="95" t="s">
        <v>184</v>
      </c>
      <c r="D61" s="96"/>
      <c r="E61" s="97"/>
      <c r="F61" s="100"/>
      <c r="G61" s="101"/>
      <c r="H61" s="90"/>
    </row>
    <row r="62" spans="2:9" ht="26.25">
      <c r="B62" s="98" t="s">
        <v>185</v>
      </c>
      <c r="C62" s="95" t="s">
        <v>186</v>
      </c>
      <c r="D62" s="96">
        <v>0</v>
      </c>
      <c r="E62" s="97"/>
    </row>
    <row r="63" spans="2:9" ht="26.25">
      <c r="B63" s="98" t="s">
        <v>187</v>
      </c>
      <c r="C63" s="95" t="s">
        <v>188</v>
      </c>
      <c r="D63" s="96">
        <v>0</v>
      </c>
      <c r="E63" s="97"/>
    </row>
    <row r="64" spans="2:9" ht="26.25">
      <c r="B64" s="98" t="s">
        <v>189</v>
      </c>
      <c r="C64" s="95" t="s">
        <v>190</v>
      </c>
      <c r="D64" s="96">
        <v>0</v>
      </c>
      <c r="E64" s="97"/>
    </row>
    <row r="65" spans="2:9" ht="77.25">
      <c r="B65" s="98" t="s">
        <v>191</v>
      </c>
      <c r="C65" s="95" t="s">
        <v>192</v>
      </c>
      <c r="D65" s="96">
        <v>0</v>
      </c>
      <c r="E65" s="97"/>
    </row>
    <row r="66" spans="2:9" ht="64.5">
      <c r="B66" s="102" t="s">
        <v>193</v>
      </c>
      <c r="C66" s="95" t="s">
        <v>194</v>
      </c>
      <c r="D66" s="96">
        <v>0</v>
      </c>
      <c r="E66" s="103"/>
    </row>
    <row r="67" spans="2:9" ht="39">
      <c r="B67" s="102" t="s">
        <v>195</v>
      </c>
      <c r="C67" s="95" t="s">
        <v>196</v>
      </c>
      <c r="D67" s="96">
        <v>23.567489999999999</v>
      </c>
      <c r="E67" s="103"/>
    </row>
    <row r="68" spans="2:9" ht="51.75">
      <c r="B68" s="102" t="s">
        <v>197</v>
      </c>
      <c r="C68" s="95" t="s">
        <v>198</v>
      </c>
      <c r="D68" s="96">
        <v>0</v>
      </c>
      <c r="E68" s="103"/>
    </row>
    <row r="69" spans="2:9" ht="39">
      <c r="B69" s="102" t="s">
        <v>199</v>
      </c>
      <c r="C69" s="95" t="s">
        <v>200</v>
      </c>
      <c r="D69" s="96">
        <v>0</v>
      </c>
      <c r="E69" s="103"/>
    </row>
    <row r="70" spans="2:9">
      <c r="B70" s="102" t="s">
        <v>201</v>
      </c>
      <c r="C70" s="95" t="s">
        <v>202</v>
      </c>
      <c r="D70" s="96">
        <v>0.57465999999999995</v>
      </c>
      <c r="E70" s="103"/>
    </row>
    <row r="71" spans="2:9" ht="27" thickBot="1">
      <c r="B71" s="104" t="s">
        <v>203</v>
      </c>
      <c r="C71" s="105" t="s">
        <v>204</v>
      </c>
      <c r="D71" s="96">
        <v>69.099999999999994</v>
      </c>
      <c r="E71" s="106"/>
    </row>
    <row r="72" spans="2:9" ht="15.75" thickBot="1">
      <c r="B72" s="77" t="s">
        <v>205</v>
      </c>
      <c r="C72" s="107" t="s">
        <v>206</v>
      </c>
      <c r="D72" s="108">
        <v>-113.16500000000001</v>
      </c>
      <c r="E72" s="80"/>
      <c r="I72" s="58"/>
    </row>
    <row r="73" spans="2:9" ht="24">
      <c r="B73" s="109" t="s">
        <v>79</v>
      </c>
      <c r="C73" s="110" t="s">
        <v>207</v>
      </c>
      <c r="D73" s="111">
        <f>D11-D40</f>
        <v>-126.68937682686988</v>
      </c>
      <c r="E73" s="112"/>
      <c r="I73" s="58"/>
    </row>
    <row r="74" spans="2:9">
      <c r="B74" s="63" t="s">
        <v>208</v>
      </c>
      <c r="C74" s="83" t="s">
        <v>209</v>
      </c>
      <c r="D74" s="84">
        <f>D12-D41</f>
        <v>-42.335821532033492</v>
      </c>
      <c r="E74" s="66"/>
    </row>
    <row r="75" spans="2:9">
      <c r="B75" s="63" t="s">
        <v>210</v>
      </c>
      <c r="C75" s="83" t="s">
        <v>211</v>
      </c>
      <c r="D75" s="84">
        <f>D15-D42</f>
        <v>-68.657983863972845</v>
      </c>
      <c r="E75" s="66"/>
    </row>
    <row r="76" spans="2:9">
      <c r="B76" s="63" t="s">
        <v>212</v>
      </c>
      <c r="C76" s="83" t="s">
        <v>213</v>
      </c>
      <c r="D76" s="84">
        <f>D16-D43</f>
        <v>-51.179412598482315</v>
      </c>
      <c r="E76" s="66"/>
    </row>
    <row r="77" spans="2:9">
      <c r="B77" s="63" t="s">
        <v>214</v>
      </c>
      <c r="C77" s="83" t="s">
        <v>215</v>
      </c>
      <c r="D77" s="84">
        <f>D19-D44</f>
        <v>8.8320435816251575</v>
      </c>
      <c r="E77" s="66"/>
    </row>
    <row r="78" spans="2:9">
      <c r="B78" s="63" t="s">
        <v>216</v>
      </c>
      <c r="C78" s="83" t="s">
        <v>217</v>
      </c>
      <c r="D78" s="84">
        <f>D23-D45</f>
        <v>-26.310614847115801</v>
      </c>
      <c r="E78" s="66"/>
    </row>
    <row r="79" spans="2:9" ht="24.75" thickBot="1">
      <c r="B79" s="67" t="s">
        <v>218</v>
      </c>
      <c r="C79" s="83" t="s">
        <v>219</v>
      </c>
      <c r="D79" s="84">
        <f>D27-D46</f>
        <v>-15.695571430863597</v>
      </c>
      <c r="E79" s="66"/>
    </row>
    <row r="80" spans="2:9">
      <c r="B80" s="59" t="s">
        <v>81</v>
      </c>
      <c r="C80" s="75" t="s">
        <v>220</v>
      </c>
      <c r="D80" s="82">
        <f>D31-D47</f>
        <v>115.40653682687011</v>
      </c>
      <c r="E80" s="62"/>
      <c r="I80" s="58"/>
    </row>
    <row r="81" spans="2:9">
      <c r="B81" s="63" t="s">
        <v>83</v>
      </c>
      <c r="C81" s="83" t="s">
        <v>221</v>
      </c>
      <c r="D81" s="84">
        <f>D33-D48</f>
        <v>2.3128214603310369</v>
      </c>
      <c r="E81" s="66"/>
      <c r="I81" s="58"/>
    </row>
    <row r="82" spans="2:9">
      <c r="B82" s="63" t="s">
        <v>85</v>
      </c>
      <c r="C82" s="83" t="s">
        <v>222</v>
      </c>
      <c r="D82" s="84">
        <f>D34+D35-D49</f>
        <v>0</v>
      </c>
      <c r="E82" s="66"/>
    </row>
    <row r="83" spans="2:9">
      <c r="B83" s="67" t="s">
        <v>223</v>
      </c>
      <c r="C83" s="91" t="s">
        <v>224</v>
      </c>
      <c r="D83" s="92">
        <f>IFERROR(D36-D50,"-")</f>
        <v>113.09371536653904</v>
      </c>
      <c r="E83" s="70"/>
    </row>
    <row r="84" spans="2:9" ht="15.75" thickBot="1">
      <c r="B84" s="113" t="s">
        <v>87</v>
      </c>
      <c r="C84" s="114" t="s">
        <v>225</v>
      </c>
      <c r="D84" s="115">
        <v>0</v>
      </c>
      <c r="E84" s="70"/>
    </row>
    <row r="85" spans="2:9" ht="15.75" thickBot="1">
      <c r="B85" s="77" t="s">
        <v>226</v>
      </c>
      <c r="C85" s="78" t="s">
        <v>227</v>
      </c>
      <c r="D85" s="108">
        <v>0</v>
      </c>
      <c r="E85" s="80"/>
      <c r="I85" s="58"/>
    </row>
    <row r="86" spans="2:9" ht="15.75" thickBot="1">
      <c r="B86" s="77" t="s">
        <v>228</v>
      </c>
      <c r="C86" s="78" t="s">
        <v>229</v>
      </c>
      <c r="D86" s="79">
        <f>IFERROR(D72+D84-D85,"0")</f>
        <v>-113.16500000000001</v>
      </c>
      <c r="E86" s="80"/>
      <c r="I86" s="58"/>
    </row>
    <row r="87" spans="2:9" ht="24">
      <c r="B87" s="109" t="s">
        <v>230</v>
      </c>
      <c r="C87" s="110" t="s">
        <v>231</v>
      </c>
      <c r="D87" s="111">
        <f>IFERROR((D73/D11)*100,"0")</f>
        <v>-9.2300061250174501</v>
      </c>
      <c r="E87" s="112"/>
    </row>
    <row r="88" spans="2:9">
      <c r="B88" s="63" t="s">
        <v>232</v>
      </c>
      <c r="C88" s="83" t="s">
        <v>233</v>
      </c>
      <c r="D88" s="84">
        <f>IFERROR((D74/D12)*100,"0")</f>
        <v>-7.3164702520759795</v>
      </c>
      <c r="E88" s="66"/>
    </row>
    <row r="89" spans="2:9">
      <c r="B89" s="63" t="s">
        <v>234</v>
      </c>
      <c r="C89" s="83" t="s">
        <v>235</v>
      </c>
      <c r="D89" s="84">
        <f>IFERROR((D75/D15)*100,"0")</f>
        <v>-8.8054858715668765</v>
      </c>
      <c r="E89" s="66"/>
    </row>
    <row r="90" spans="2:9" ht="24">
      <c r="B90" s="63" t="s">
        <v>236</v>
      </c>
      <c r="C90" s="83" t="s">
        <v>237</v>
      </c>
      <c r="D90" s="84">
        <f>IFERROR((D76/D16)*100,"0")</f>
        <v>-15.257588978278438</v>
      </c>
      <c r="E90" s="66"/>
    </row>
    <row r="91" spans="2:9">
      <c r="B91" s="63" t="s">
        <v>238</v>
      </c>
      <c r="C91" s="83" t="s">
        <v>239</v>
      </c>
      <c r="D91" s="84">
        <f>IFERROR((D77/D19)*100,"0")</f>
        <v>2.2868575709371348</v>
      </c>
      <c r="E91" s="66"/>
    </row>
    <row r="92" spans="2:9">
      <c r="B92" s="63" t="s">
        <v>240</v>
      </c>
      <c r="C92" s="83" t="s">
        <v>241</v>
      </c>
      <c r="D92" s="84">
        <f>IFERROR((D78/D23)*100,"0")</f>
        <v>-45.305497329631031</v>
      </c>
      <c r="E92" s="66"/>
    </row>
    <row r="93" spans="2:9" ht="24.75" thickBot="1">
      <c r="B93" s="116" t="s">
        <v>242</v>
      </c>
      <c r="C93" s="117" t="s">
        <v>243</v>
      </c>
      <c r="D93" s="118">
        <f>IFERROR((D79/D27)*100,"0")</f>
        <v>-110.3287066379937</v>
      </c>
      <c r="E93" s="119"/>
    </row>
    <row r="95" spans="2:9">
      <c r="C95" s="89" t="s">
        <v>244</v>
      </c>
    </row>
    <row r="96" spans="2:9">
      <c r="C96" s="89" t="s">
        <v>245</v>
      </c>
    </row>
  </sheetData>
  <sheetProtection password="F757" sheet="1" objects="1" scenarios="1"/>
  <mergeCells count="5">
    <mergeCell ref="B8:E8"/>
    <mergeCell ref="A1:L1"/>
    <mergeCell ref="A2:L2"/>
    <mergeCell ref="A3:L3"/>
    <mergeCell ref="A5:L5"/>
  </mergeCells>
  <pageMargins left="0.7" right="0.7" top="0.75" bottom="0.75" header="0.3" footer="0.3"/>
  <pageSetup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41"/>
  <sheetViews>
    <sheetView topLeftCell="B217" zoomScale="85" zoomScaleNormal="85" workbookViewId="0">
      <selection activeCell="E200" sqref="E200"/>
    </sheetView>
  </sheetViews>
  <sheetFormatPr defaultColWidth="9.140625" defaultRowHeight="15"/>
  <cols>
    <col min="1" max="1" width="9.140625" style="5"/>
    <col min="2" max="2" width="10.7109375" style="5" customWidth="1"/>
    <col min="3" max="3" width="71.140625" style="5" customWidth="1"/>
    <col min="4" max="4" width="13.5703125" style="5" customWidth="1"/>
    <col min="5" max="5" width="13.42578125" style="5" customWidth="1"/>
    <col min="6" max="6" width="16.85546875" style="5" customWidth="1"/>
    <col min="7" max="7" width="16.140625" style="5" customWidth="1"/>
    <col min="8" max="8" width="15.7109375" style="5" customWidth="1"/>
    <col min="9" max="9" width="14" style="5" customWidth="1"/>
    <col min="10" max="11" width="14.5703125" style="5" customWidth="1"/>
    <col min="12" max="12" width="16.5703125" style="5" customWidth="1"/>
    <col min="13" max="13" width="15" style="5" customWidth="1"/>
    <col min="14" max="16" width="17.85546875" style="5" customWidth="1"/>
    <col min="17" max="17" width="23.28515625" style="5" customWidth="1"/>
    <col min="18" max="18" width="12.42578125" style="120" customWidth="1"/>
    <col min="19" max="19" width="5.42578125" style="120" customWidth="1"/>
    <col min="20" max="20" width="9.140625" style="5"/>
    <col min="21" max="21" width="12.7109375" style="5" bestFit="1" customWidth="1"/>
    <col min="22" max="16384" width="9.140625" style="5"/>
  </cols>
  <sheetData>
    <row r="1" spans="1:19">
      <c r="A1" s="1335" t="s">
        <v>0</v>
      </c>
      <c r="B1" s="1336"/>
      <c r="C1" s="1336"/>
      <c r="D1" s="1336"/>
      <c r="E1" s="1336"/>
      <c r="F1" s="1336"/>
      <c r="G1" s="1336"/>
      <c r="H1" s="1336"/>
      <c r="I1" s="1336"/>
      <c r="J1" s="1336"/>
      <c r="K1" s="1336"/>
      <c r="L1" s="1336"/>
      <c r="M1" s="1336"/>
      <c r="N1" s="1336"/>
      <c r="O1" s="1336"/>
      <c r="P1" s="1336"/>
      <c r="Q1" s="1336"/>
      <c r="R1" s="1337"/>
    </row>
    <row r="2" spans="1:19">
      <c r="A2" s="1335" t="s">
        <v>1</v>
      </c>
      <c r="B2" s="1336"/>
      <c r="C2" s="1336"/>
      <c r="D2" s="1336"/>
      <c r="E2" s="1336"/>
      <c r="F2" s="1336"/>
      <c r="G2" s="1336"/>
      <c r="H2" s="1336"/>
      <c r="I2" s="1336"/>
      <c r="J2" s="1336"/>
      <c r="K2" s="1336"/>
      <c r="L2" s="1336"/>
      <c r="M2" s="1336"/>
      <c r="N2" s="1336"/>
      <c r="O2" s="1336"/>
      <c r="P2" s="1336"/>
      <c r="Q2" s="1336"/>
      <c r="R2" s="1337"/>
    </row>
    <row r="3" spans="1:19">
      <c r="A3" s="1338"/>
      <c r="B3" s="1339"/>
      <c r="C3" s="1339"/>
      <c r="D3" s="1339"/>
      <c r="E3" s="1339"/>
      <c r="F3" s="1339"/>
      <c r="G3" s="1339"/>
      <c r="H3" s="1339"/>
      <c r="I3" s="1339"/>
      <c r="J3" s="1339"/>
      <c r="K3" s="1339"/>
      <c r="L3" s="1339"/>
      <c r="M3" s="1339"/>
      <c r="N3" s="1339"/>
      <c r="O3" s="1339"/>
      <c r="P3" s="1339"/>
      <c r="Q3" s="1339"/>
      <c r="R3" s="1340"/>
    </row>
    <row r="4" spans="1:19">
      <c r="A4" s="6"/>
      <c r="B4" s="6"/>
      <c r="C4" s="6"/>
      <c r="D4" s="6"/>
      <c r="E4" s="6"/>
      <c r="F4" s="6"/>
      <c r="G4" s="6"/>
      <c r="H4" s="6"/>
      <c r="I4" s="6"/>
      <c r="J4" s="6"/>
      <c r="K4" s="6"/>
      <c r="L4" s="6"/>
      <c r="M4" s="6"/>
      <c r="N4" s="6"/>
      <c r="O4" s="6"/>
      <c r="P4" s="6"/>
      <c r="Q4" s="6"/>
      <c r="R4" s="121"/>
    </row>
    <row r="5" spans="1:19">
      <c r="A5" s="1341" t="s">
        <v>246</v>
      </c>
      <c r="B5" s="1342"/>
      <c r="C5" s="1342"/>
      <c r="D5" s="1342"/>
      <c r="E5" s="1342"/>
      <c r="F5" s="1342"/>
      <c r="G5" s="1342"/>
      <c r="H5" s="1342"/>
      <c r="I5" s="1342"/>
      <c r="J5" s="1342"/>
      <c r="K5" s="1342"/>
      <c r="L5" s="1342"/>
      <c r="M5" s="1342"/>
      <c r="N5" s="1342"/>
      <c r="O5" s="1342"/>
      <c r="P5" s="1342"/>
      <c r="Q5" s="1342"/>
      <c r="R5" s="1343"/>
    </row>
    <row r="6" spans="1:19">
      <c r="A6" s="6"/>
      <c r="B6" s="6"/>
      <c r="C6" s="6"/>
      <c r="D6" s="6"/>
      <c r="E6" s="6"/>
      <c r="F6" s="6"/>
      <c r="G6" s="6"/>
      <c r="H6" s="6"/>
      <c r="I6" s="6"/>
      <c r="J6" s="6"/>
      <c r="K6" s="6"/>
      <c r="L6" s="6"/>
      <c r="M6" s="6"/>
      <c r="N6" s="6"/>
      <c r="O6" s="6"/>
      <c r="P6" s="6"/>
      <c r="Q6" s="6"/>
      <c r="R6" s="121"/>
    </row>
    <row r="8" spans="1:19" ht="15.75" thickBot="1">
      <c r="B8" s="1334" t="s">
        <v>247</v>
      </c>
      <c r="C8" s="1334"/>
      <c r="D8" s="1334"/>
      <c r="E8" s="1334"/>
      <c r="F8" s="1334"/>
      <c r="G8" s="1334"/>
      <c r="H8" s="1334"/>
      <c r="I8" s="1334"/>
      <c r="J8" s="1334"/>
      <c r="K8" s="1334"/>
      <c r="L8" s="1334"/>
      <c r="M8" s="1334"/>
      <c r="N8" s="1334"/>
      <c r="O8" s="1334"/>
      <c r="P8" s="1334"/>
      <c r="Q8" s="1334"/>
    </row>
    <row r="9" spans="1:19" ht="124.5" customHeight="1" thickBot="1">
      <c r="B9" s="122" t="s">
        <v>4</v>
      </c>
      <c r="C9" s="123" t="s">
        <v>248</v>
      </c>
      <c r="D9" s="123" t="s">
        <v>249</v>
      </c>
      <c r="E9" s="124" t="s">
        <v>250</v>
      </c>
      <c r="F9" s="125" t="s">
        <v>251</v>
      </c>
      <c r="G9" s="126" t="s">
        <v>252</v>
      </c>
      <c r="H9" s="127" t="s">
        <v>253</v>
      </c>
      <c r="I9" s="128" t="s">
        <v>254</v>
      </c>
      <c r="J9" s="125" t="s">
        <v>255</v>
      </c>
      <c r="K9" s="126" t="s">
        <v>256</v>
      </c>
      <c r="L9" s="129" t="s">
        <v>257</v>
      </c>
      <c r="M9" s="124" t="s">
        <v>258</v>
      </c>
      <c r="N9" s="128" t="s">
        <v>259</v>
      </c>
      <c r="O9" s="130" t="s">
        <v>260</v>
      </c>
      <c r="P9" s="131" t="s">
        <v>261</v>
      </c>
      <c r="Q9" s="132" t="s">
        <v>262</v>
      </c>
    </row>
    <row r="10" spans="1:19" ht="28.5" customHeight="1" thickTop="1" thickBot="1">
      <c r="B10" s="133" t="s">
        <v>51</v>
      </c>
      <c r="C10" s="134" t="s">
        <v>263</v>
      </c>
      <c r="D10" s="135"/>
      <c r="E10" s="136"/>
      <c r="F10" s="137"/>
      <c r="G10" s="138"/>
      <c r="H10" s="139"/>
      <c r="I10" s="136"/>
      <c r="J10" s="137"/>
      <c r="K10" s="138"/>
      <c r="L10" s="138"/>
      <c r="M10" s="136"/>
      <c r="N10" s="140"/>
      <c r="O10" s="141"/>
      <c r="P10" s="139"/>
      <c r="Q10" s="136"/>
    </row>
    <row r="11" spans="1:19">
      <c r="B11" s="142" t="s">
        <v>96</v>
      </c>
      <c r="C11" s="143" t="s">
        <v>264</v>
      </c>
      <c r="D11" s="144">
        <f t="shared" ref="D11:Q12" si="0">D30</f>
        <v>4.4276099999999996</v>
      </c>
      <c r="E11" s="145">
        <f t="shared" si="0"/>
        <v>4.4276099999999996</v>
      </c>
      <c r="F11" s="146">
        <f t="shared" si="0"/>
        <v>2.3362099999999999</v>
      </c>
      <c r="G11" s="147">
        <f t="shared" si="0"/>
        <v>0</v>
      </c>
      <c r="H11" s="148">
        <f t="shared" si="0"/>
        <v>2.0914000000000001</v>
      </c>
      <c r="I11" s="145">
        <f t="shared" si="0"/>
        <v>0</v>
      </c>
      <c r="J11" s="146">
        <f t="shared" si="0"/>
        <v>0</v>
      </c>
      <c r="K11" s="147">
        <f t="shared" si="0"/>
        <v>0</v>
      </c>
      <c r="L11" s="147">
        <f t="shared" si="0"/>
        <v>0</v>
      </c>
      <c r="M11" s="145">
        <f t="shared" si="0"/>
        <v>0</v>
      </c>
      <c r="N11" s="149">
        <f t="shared" si="0"/>
        <v>0</v>
      </c>
      <c r="O11" s="147">
        <f t="shared" si="0"/>
        <v>0</v>
      </c>
      <c r="P11" s="147">
        <f t="shared" si="0"/>
        <v>0</v>
      </c>
      <c r="Q11" s="145">
        <f t="shared" si="0"/>
        <v>0</v>
      </c>
    </row>
    <row r="12" spans="1:19">
      <c r="B12" s="150" t="s">
        <v>102</v>
      </c>
      <c r="C12" s="151" t="s">
        <v>265</v>
      </c>
      <c r="D12" s="152">
        <f t="shared" si="0"/>
        <v>0</v>
      </c>
      <c r="E12" s="153">
        <f t="shared" si="0"/>
        <v>0</v>
      </c>
      <c r="F12" s="154">
        <f t="shared" si="0"/>
        <v>0</v>
      </c>
      <c r="G12" s="155">
        <f t="shared" si="0"/>
        <v>0</v>
      </c>
      <c r="H12" s="156">
        <f t="shared" si="0"/>
        <v>0</v>
      </c>
      <c r="I12" s="153">
        <f t="shared" si="0"/>
        <v>0</v>
      </c>
      <c r="J12" s="154">
        <f t="shared" si="0"/>
        <v>0</v>
      </c>
      <c r="K12" s="155">
        <f t="shared" si="0"/>
        <v>0</v>
      </c>
      <c r="L12" s="155">
        <f t="shared" si="0"/>
        <v>0</v>
      </c>
      <c r="M12" s="153">
        <f t="shared" si="0"/>
        <v>0</v>
      </c>
      <c r="N12" s="157">
        <f t="shared" si="0"/>
        <v>0</v>
      </c>
      <c r="O12" s="158">
        <f>O31</f>
        <v>0</v>
      </c>
      <c r="P12" s="156">
        <f t="shared" si="0"/>
        <v>0</v>
      </c>
      <c r="Q12" s="153">
        <f t="shared" si="0"/>
        <v>0</v>
      </c>
    </row>
    <row r="13" spans="1:19">
      <c r="B13" s="150" t="s">
        <v>124</v>
      </c>
      <c r="C13" s="151" t="s">
        <v>266</v>
      </c>
      <c r="D13" s="152">
        <f t="shared" ref="D13:Q14" si="1">D34+D91</f>
        <v>176.85707000000002</v>
      </c>
      <c r="E13" s="153">
        <f t="shared" si="1"/>
        <v>66.501408744019997</v>
      </c>
      <c r="F13" s="154">
        <f t="shared" si="1"/>
        <v>63.478079644279994</v>
      </c>
      <c r="G13" s="155">
        <f t="shared" si="1"/>
        <v>1.0118545327799999</v>
      </c>
      <c r="H13" s="156">
        <f t="shared" si="1"/>
        <v>2.01147456696</v>
      </c>
      <c r="I13" s="153">
        <f t="shared" si="1"/>
        <v>110.34938007220001</v>
      </c>
      <c r="J13" s="154">
        <f t="shared" si="1"/>
        <v>35.838173765039997</v>
      </c>
      <c r="K13" s="155">
        <f t="shared" si="1"/>
        <v>69.965625275360011</v>
      </c>
      <c r="L13" s="155">
        <f t="shared" si="1"/>
        <v>4.5455810317999994</v>
      </c>
      <c r="M13" s="153">
        <f t="shared" si="1"/>
        <v>2.6556185999999997E-4</v>
      </c>
      <c r="N13" s="157">
        <f t="shared" si="1"/>
        <v>5.7894375600000001E-3</v>
      </c>
      <c r="O13" s="158">
        <f t="shared" si="1"/>
        <v>5.7894375600000001E-3</v>
      </c>
      <c r="P13" s="156">
        <f t="shared" si="1"/>
        <v>0</v>
      </c>
      <c r="Q13" s="153">
        <f t="shared" si="1"/>
        <v>2.2618435999999999E-4</v>
      </c>
    </row>
    <row r="14" spans="1:19" s="2" customFormat="1" ht="35.25" customHeight="1">
      <c r="B14" s="159" t="s">
        <v>126</v>
      </c>
      <c r="C14" s="160" t="s">
        <v>267</v>
      </c>
      <c r="D14" s="161">
        <f t="shared" si="1"/>
        <v>167.16049999999998</v>
      </c>
      <c r="E14" s="162">
        <f t="shared" si="1"/>
        <v>65.289439999999999</v>
      </c>
      <c r="F14" s="163">
        <f t="shared" si="1"/>
        <v>63.281179999999999</v>
      </c>
      <c r="G14" s="164">
        <f t="shared" si="1"/>
        <v>0.94101000000000001</v>
      </c>
      <c r="H14" s="165">
        <f t="shared" si="1"/>
        <v>1.06725</v>
      </c>
      <c r="I14" s="162">
        <f t="shared" si="1"/>
        <v>101.87105999999999</v>
      </c>
      <c r="J14" s="163">
        <f t="shared" si="1"/>
        <v>34.272759999999998</v>
      </c>
      <c r="K14" s="164">
        <f t="shared" si="1"/>
        <v>63.09496</v>
      </c>
      <c r="L14" s="164">
        <f t="shared" si="1"/>
        <v>4.5033399999999997</v>
      </c>
      <c r="M14" s="162">
        <f t="shared" si="1"/>
        <v>0</v>
      </c>
      <c r="N14" s="166">
        <f t="shared" si="1"/>
        <v>0</v>
      </c>
      <c r="O14" s="167">
        <f t="shared" si="1"/>
        <v>0</v>
      </c>
      <c r="P14" s="165">
        <f t="shared" si="1"/>
        <v>0</v>
      </c>
      <c r="Q14" s="162">
        <f t="shared" si="1"/>
        <v>0</v>
      </c>
      <c r="R14" s="168"/>
      <c r="S14" s="168"/>
    </row>
    <row r="15" spans="1:19">
      <c r="B15" s="150" t="s">
        <v>268</v>
      </c>
      <c r="C15" s="151" t="s">
        <v>269</v>
      </c>
      <c r="D15" s="152">
        <f t="shared" ref="D15:Q15" si="2">D37</f>
        <v>8.0812500000000007</v>
      </c>
      <c r="E15" s="153">
        <f t="shared" si="2"/>
        <v>0.44874999999999998</v>
      </c>
      <c r="F15" s="154">
        <f t="shared" si="2"/>
        <v>0</v>
      </c>
      <c r="G15" s="155">
        <f t="shared" si="2"/>
        <v>0.44874999999999998</v>
      </c>
      <c r="H15" s="156">
        <f t="shared" si="2"/>
        <v>0</v>
      </c>
      <c r="I15" s="153">
        <f t="shared" si="2"/>
        <v>7.6325000000000003</v>
      </c>
      <c r="J15" s="154">
        <f t="shared" si="2"/>
        <v>0</v>
      </c>
      <c r="K15" s="155">
        <f t="shared" si="2"/>
        <v>0</v>
      </c>
      <c r="L15" s="155">
        <f t="shared" si="2"/>
        <v>7.6325000000000003</v>
      </c>
      <c r="M15" s="153">
        <f t="shared" si="2"/>
        <v>0</v>
      </c>
      <c r="N15" s="157">
        <f t="shared" si="2"/>
        <v>0</v>
      </c>
      <c r="O15" s="158">
        <f t="shared" si="2"/>
        <v>0</v>
      </c>
      <c r="P15" s="156">
        <f t="shared" si="2"/>
        <v>0</v>
      </c>
      <c r="Q15" s="153">
        <f t="shared" si="2"/>
        <v>0</v>
      </c>
    </row>
    <row r="16" spans="1:19">
      <c r="B16" s="150" t="s">
        <v>270</v>
      </c>
      <c r="C16" s="151" t="s">
        <v>271</v>
      </c>
      <c r="D16" s="152">
        <f t="shared" ref="D16:Q17" si="3">D45+D99+D194</f>
        <v>131.56148000000002</v>
      </c>
      <c r="E16" s="153">
        <f t="shared" si="3"/>
        <v>58.664625607754552</v>
      </c>
      <c r="F16" s="154">
        <f t="shared" si="3"/>
        <v>20.741899293612946</v>
      </c>
      <c r="G16" s="155">
        <f t="shared" si="3"/>
        <v>7.8376731115318821</v>
      </c>
      <c r="H16" s="156">
        <f t="shared" si="3"/>
        <v>30.085053202609721</v>
      </c>
      <c r="I16" s="153">
        <f t="shared" si="3"/>
        <v>53.306547608206778</v>
      </c>
      <c r="J16" s="154">
        <f t="shared" si="3"/>
        <v>36.065969592449555</v>
      </c>
      <c r="K16" s="155">
        <f t="shared" si="3"/>
        <v>11.259320342493632</v>
      </c>
      <c r="L16" s="155">
        <f t="shared" si="3"/>
        <v>5.98125767326359</v>
      </c>
      <c r="M16" s="153">
        <f t="shared" si="3"/>
        <v>1.2270855925280313</v>
      </c>
      <c r="N16" s="157">
        <f t="shared" si="3"/>
        <v>17.391659656329718</v>
      </c>
      <c r="O16" s="158">
        <f t="shared" si="3"/>
        <v>17.391659656329718</v>
      </c>
      <c r="P16" s="156">
        <f t="shared" si="3"/>
        <v>0</v>
      </c>
      <c r="Q16" s="153">
        <f t="shared" si="3"/>
        <v>0.97156153518092214</v>
      </c>
    </row>
    <row r="17" spans="1:22" s="2" customFormat="1">
      <c r="B17" s="169" t="s">
        <v>272</v>
      </c>
      <c r="C17" s="170" t="s">
        <v>273</v>
      </c>
      <c r="D17" s="171">
        <f t="shared" si="3"/>
        <v>69.778199999999998</v>
      </c>
      <c r="E17" s="172">
        <f t="shared" si="3"/>
        <v>29.573289630582</v>
      </c>
      <c r="F17" s="173">
        <f t="shared" si="3"/>
        <v>3.2661666029480001</v>
      </c>
      <c r="G17" s="174">
        <f t="shared" si="3"/>
        <v>2.9929285882980001</v>
      </c>
      <c r="H17" s="175">
        <f t="shared" si="3"/>
        <v>23.314194439335999</v>
      </c>
      <c r="I17" s="172">
        <f t="shared" si="3"/>
        <v>34.678065257020002</v>
      </c>
      <c r="J17" s="173">
        <f t="shared" si="3"/>
        <v>24.813150381863998</v>
      </c>
      <c r="K17" s="174">
        <f t="shared" si="3"/>
        <v>6.0379160857760006</v>
      </c>
      <c r="L17" s="174">
        <f t="shared" si="3"/>
        <v>3.8269987893799997</v>
      </c>
      <c r="M17" s="172">
        <f t="shared" si="3"/>
        <v>0.90419719292599998</v>
      </c>
      <c r="N17" s="176">
        <f t="shared" si="3"/>
        <v>3.6651165617960002</v>
      </c>
      <c r="O17" s="177">
        <f t="shared" si="3"/>
        <v>3.6651165617960002</v>
      </c>
      <c r="P17" s="175">
        <f t="shared" si="3"/>
        <v>0</v>
      </c>
      <c r="Q17" s="172">
        <f t="shared" si="3"/>
        <v>0.95753135767599995</v>
      </c>
      <c r="R17" s="168"/>
      <c r="S17" s="168"/>
    </row>
    <row r="18" spans="1:22" s="2" customFormat="1">
      <c r="B18" s="169" t="s">
        <v>274</v>
      </c>
      <c r="C18" s="170" t="s">
        <v>275</v>
      </c>
      <c r="D18" s="171">
        <f t="shared" ref="D18:Q18" si="4">D49+D103+D198</f>
        <v>0</v>
      </c>
      <c r="E18" s="172">
        <f t="shared" si="4"/>
        <v>0</v>
      </c>
      <c r="F18" s="173">
        <f t="shared" si="4"/>
        <v>0</v>
      </c>
      <c r="G18" s="174">
        <f t="shared" si="4"/>
        <v>0</v>
      </c>
      <c r="H18" s="175">
        <f t="shared" si="4"/>
        <v>0</v>
      </c>
      <c r="I18" s="172">
        <f t="shared" si="4"/>
        <v>0</v>
      </c>
      <c r="J18" s="173">
        <f t="shared" si="4"/>
        <v>0</v>
      </c>
      <c r="K18" s="174">
        <f t="shared" si="4"/>
        <v>0</v>
      </c>
      <c r="L18" s="174">
        <f t="shared" si="4"/>
        <v>0</v>
      </c>
      <c r="M18" s="172">
        <f t="shared" si="4"/>
        <v>0</v>
      </c>
      <c r="N18" s="176">
        <f t="shared" si="4"/>
        <v>0</v>
      </c>
      <c r="O18" s="177">
        <f t="shared" si="4"/>
        <v>0</v>
      </c>
      <c r="P18" s="175">
        <f t="shared" si="4"/>
        <v>0</v>
      </c>
      <c r="Q18" s="172">
        <f t="shared" si="4"/>
        <v>0</v>
      </c>
      <c r="R18" s="168"/>
      <c r="S18" s="168"/>
    </row>
    <row r="19" spans="1:22" s="2" customFormat="1">
      <c r="B19" s="178" t="s">
        <v>276</v>
      </c>
      <c r="C19" s="179" t="s">
        <v>277</v>
      </c>
      <c r="D19" s="180">
        <f t="shared" ref="D19:Q19" si="5">D47+D101+D196</f>
        <v>47.70232</v>
      </c>
      <c r="E19" s="181">
        <f t="shared" si="5"/>
        <v>28.894258784996548</v>
      </c>
      <c r="F19" s="182">
        <f t="shared" si="5"/>
        <v>17.462245673800943</v>
      </c>
      <c r="G19" s="183">
        <f t="shared" si="5"/>
        <v>4.8319312475698819</v>
      </c>
      <c r="H19" s="184">
        <f t="shared" si="5"/>
        <v>6.600081863625725</v>
      </c>
      <c r="I19" s="181">
        <f t="shared" si="5"/>
        <v>18.256935587826781</v>
      </c>
      <c r="J19" s="182">
        <f t="shared" si="5"/>
        <v>10.969691108633555</v>
      </c>
      <c r="K19" s="183">
        <f t="shared" si="5"/>
        <v>5.1406255071496325</v>
      </c>
      <c r="L19" s="183">
        <f t="shared" si="5"/>
        <v>2.1466189720435898</v>
      </c>
      <c r="M19" s="181">
        <f t="shared" si="5"/>
        <v>0.32284036883403133</v>
      </c>
      <c r="N19" s="185">
        <f t="shared" si="5"/>
        <v>0.21429598960571913</v>
      </c>
      <c r="O19" s="186">
        <f t="shared" si="5"/>
        <v>0.21429598960571913</v>
      </c>
      <c r="P19" s="184">
        <f t="shared" si="5"/>
        <v>0</v>
      </c>
      <c r="Q19" s="181">
        <f t="shared" si="5"/>
        <v>1.3989268736922142E-2</v>
      </c>
      <c r="R19" s="168"/>
      <c r="S19" s="168"/>
    </row>
    <row r="20" spans="1:22">
      <c r="B20" s="150" t="s">
        <v>278</v>
      </c>
      <c r="C20" s="187" t="s">
        <v>279</v>
      </c>
      <c r="D20" s="152">
        <f t="shared" ref="D20:Q21" si="6">D52+D106+D201</f>
        <v>882.76888000000008</v>
      </c>
      <c r="E20" s="153">
        <f t="shared" si="6"/>
        <v>276.14933136727251</v>
      </c>
      <c r="F20" s="154">
        <f t="shared" si="6"/>
        <v>53.319202989820667</v>
      </c>
      <c r="G20" s="155">
        <f t="shared" si="6"/>
        <v>37.534732487262538</v>
      </c>
      <c r="H20" s="156">
        <f t="shared" si="6"/>
        <v>185.29539589018933</v>
      </c>
      <c r="I20" s="153">
        <f t="shared" si="6"/>
        <v>447.84223492661442</v>
      </c>
      <c r="J20" s="154">
        <f t="shared" si="6"/>
        <v>201.55044557052426</v>
      </c>
      <c r="K20" s="155">
        <f t="shared" si="6"/>
        <v>201.01916262786307</v>
      </c>
      <c r="L20" s="155">
        <f t="shared" si="6"/>
        <v>45.272626728227095</v>
      </c>
      <c r="M20" s="153">
        <f t="shared" si="6"/>
        <v>24.445008677587282</v>
      </c>
      <c r="N20" s="157">
        <f t="shared" si="6"/>
        <v>124.25000496707725</v>
      </c>
      <c r="O20" s="158">
        <f t="shared" si="6"/>
        <v>124.25000496707725</v>
      </c>
      <c r="P20" s="156">
        <f t="shared" si="6"/>
        <v>0</v>
      </c>
      <c r="Q20" s="153">
        <f t="shared" si="6"/>
        <v>10.082300061448523</v>
      </c>
    </row>
    <row r="21" spans="1:22">
      <c r="B21" s="169" t="s">
        <v>280</v>
      </c>
      <c r="C21" s="188" t="s">
        <v>281</v>
      </c>
      <c r="D21" s="171">
        <f t="shared" si="6"/>
        <v>862.36590999999999</v>
      </c>
      <c r="E21" s="172">
        <f t="shared" si="6"/>
        <v>269.90037555672177</v>
      </c>
      <c r="F21" s="173">
        <f t="shared" si="6"/>
        <v>51.901843620082943</v>
      </c>
      <c r="G21" s="174">
        <f t="shared" si="6"/>
        <v>36.731624307626198</v>
      </c>
      <c r="H21" s="175">
        <f t="shared" si="6"/>
        <v>181.26690762901262</v>
      </c>
      <c r="I21" s="172">
        <f t="shared" si="6"/>
        <v>437.21028668859265</v>
      </c>
      <c r="J21" s="173">
        <f t="shared" si="6"/>
        <v>196.2354902189972</v>
      </c>
      <c r="K21" s="174">
        <f t="shared" si="6"/>
        <v>196.78491842731137</v>
      </c>
      <c r="L21" s="174">
        <f t="shared" si="6"/>
        <v>44.189878042284064</v>
      </c>
      <c r="M21" s="172">
        <f t="shared" si="6"/>
        <v>24.014175203886417</v>
      </c>
      <c r="N21" s="176">
        <f t="shared" si="6"/>
        <v>121.37219846216826</v>
      </c>
      <c r="O21" s="177">
        <f t="shared" si="6"/>
        <v>121.37219846216826</v>
      </c>
      <c r="P21" s="175">
        <f t="shared" si="6"/>
        <v>0</v>
      </c>
      <c r="Q21" s="172">
        <f t="shared" si="6"/>
        <v>9.8688740886309763</v>
      </c>
    </row>
    <row r="22" spans="1:22">
      <c r="A22" s="189"/>
      <c r="B22" s="190" t="s">
        <v>282</v>
      </c>
      <c r="C22" s="191" t="s">
        <v>283</v>
      </c>
      <c r="D22" s="192">
        <f>D32+D33+D47+D67+D69+D73+D75+D76+D77+D79+D85+D86+D101+D119+D121+D125+D128+D129+D131+D137+D138+D196+D214+D216+D220+D222+D223+D224+D226+D233+D234+D127</f>
        <v>88.841030000000003</v>
      </c>
      <c r="E22" s="193">
        <f t="shared" ref="E22:Q22" si="7">E32+E33+E47+E67+E69+E73+E75+E76+E77+E79+E85+E86+E101+E119+E121+E125+E128+E129+E131+E137+E138+E196+E214+E216+E220+E222+E223+E224+E226+E233+E234+E127</f>
        <v>52.637936249892562</v>
      </c>
      <c r="F22" s="194">
        <f t="shared" si="7"/>
        <v>19.011682228664991</v>
      </c>
      <c r="G22" s="195">
        <f t="shared" si="7"/>
        <v>5.7122486310257186</v>
      </c>
      <c r="H22" s="196">
        <f t="shared" si="7"/>
        <v>27.914005390201851</v>
      </c>
      <c r="I22" s="193">
        <f t="shared" si="7"/>
        <v>32.14979987111326</v>
      </c>
      <c r="J22" s="194">
        <f t="shared" si="7"/>
        <v>16.470461167371649</v>
      </c>
      <c r="K22" s="195">
        <f t="shared" si="7"/>
        <v>9.7273787711266753</v>
      </c>
      <c r="L22" s="195">
        <f t="shared" si="7"/>
        <v>5.9519599326149368</v>
      </c>
      <c r="M22" s="193">
        <f t="shared" si="7"/>
        <v>0.89601392875521912</v>
      </c>
      <c r="N22" s="197">
        <f t="shared" si="7"/>
        <v>2.8773556155592361</v>
      </c>
      <c r="O22" s="198">
        <f t="shared" si="7"/>
        <v>2.8773556155592361</v>
      </c>
      <c r="P22" s="196">
        <f t="shared" si="7"/>
        <v>0</v>
      </c>
      <c r="Q22" s="199">
        <f t="shared" si="7"/>
        <v>0.27992433467971906</v>
      </c>
    </row>
    <row r="23" spans="1:22">
      <c r="A23" s="189"/>
      <c r="B23" s="200" t="s">
        <v>284</v>
      </c>
      <c r="C23" s="134" t="s">
        <v>285</v>
      </c>
      <c r="D23" s="201">
        <f t="shared" ref="D23:Q23" si="8">D29+D90+D186</f>
        <v>1686.3457300000002</v>
      </c>
      <c r="E23" s="200">
        <f t="shared" si="8"/>
        <v>620.97306153203351</v>
      </c>
      <c r="F23" s="202">
        <f t="shared" si="8"/>
        <v>246.13253206511533</v>
      </c>
      <c r="G23" s="203">
        <f t="shared" si="8"/>
        <v>57.669851450381209</v>
      </c>
      <c r="H23" s="204">
        <f t="shared" si="8"/>
        <v>317.17067801653701</v>
      </c>
      <c r="I23" s="200">
        <f t="shared" si="8"/>
        <v>848.37627386397287</v>
      </c>
      <c r="J23" s="202">
        <f t="shared" si="8"/>
        <v>386.61519259848234</v>
      </c>
      <c r="K23" s="203">
        <f t="shared" si="8"/>
        <v>377.37668641837485</v>
      </c>
      <c r="L23" s="203">
        <f t="shared" si="8"/>
        <v>84.3843948471158</v>
      </c>
      <c r="M23" s="200">
        <f t="shared" si="8"/>
        <v>29.921761430863597</v>
      </c>
      <c r="N23" s="205">
        <f t="shared" si="8"/>
        <v>170.08953853966895</v>
      </c>
      <c r="O23" s="206">
        <f t="shared" si="8"/>
        <v>170.08953853966895</v>
      </c>
      <c r="P23" s="204">
        <f t="shared" si="8"/>
        <v>0</v>
      </c>
      <c r="Q23" s="207">
        <f t="shared" si="8"/>
        <v>16.985094633460953</v>
      </c>
      <c r="T23" s="120"/>
      <c r="U23" s="208"/>
      <c r="V23" s="3"/>
    </row>
    <row r="24" spans="1:22">
      <c r="B24" s="209" t="s">
        <v>286</v>
      </c>
      <c r="C24" s="210" t="s">
        <v>287</v>
      </c>
      <c r="D24" s="152">
        <f t="shared" ref="D24:D31" si="9">E24+I24+M24+N24+Q24</f>
        <v>1404.7844699999998</v>
      </c>
      <c r="E24" s="153">
        <f t="shared" ref="E24:Q24" si="10">SUM(E25:E27)</f>
        <v>469.42236153203351</v>
      </c>
      <c r="F24" s="154">
        <f t="shared" si="10"/>
        <v>99.130242065115326</v>
      </c>
      <c r="G24" s="155">
        <f t="shared" si="10"/>
        <v>56.280091450381214</v>
      </c>
      <c r="H24" s="156">
        <f t="shared" si="10"/>
        <v>314.01202801653699</v>
      </c>
      <c r="I24" s="153">
        <f t="shared" si="10"/>
        <v>718.48971386397284</v>
      </c>
      <c r="J24" s="154">
        <f t="shared" si="10"/>
        <v>352.34243259848228</v>
      </c>
      <c r="K24" s="155">
        <f t="shared" si="10"/>
        <v>293.89872641837485</v>
      </c>
      <c r="L24" s="155">
        <f t="shared" si="10"/>
        <v>72.248554847115798</v>
      </c>
      <c r="M24" s="153">
        <f t="shared" si="10"/>
        <v>29.797761430863599</v>
      </c>
      <c r="N24" s="157">
        <f t="shared" si="10"/>
        <v>170.08953853966895</v>
      </c>
      <c r="O24" s="158">
        <f t="shared" si="10"/>
        <v>170.08953853966895</v>
      </c>
      <c r="P24" s="156">
        <f t="shared" si="10"/>
        <v>0</v>
      </c>
      <c r="Q24" s="209">
        <f t="shared" si="10"/>
        <v>16.985094633460953</v>
      </c>
      <c r="T24" s="120"/>
      <c r="U24" s="120"/>
      <c r="V24" s="211"/>
    </row>
    <row r="25" spans="1:22">
      <c r="B25" s="212" t="s">
        <v>288</v>
      </c>
      <c r="C25" s="213" t="s">
        <v>289</v>
      </c>
      <c r="D25" s="214">
        <f t="shared" si="9"/>
        <v>884.6555699999999</v>
      </c>
      <c r="E25" s="212">
        <f t="shared" ref="E25:E30" si="11">SUM(F25:H25)</f>
        <v>293.96398999999997</v>
      </c>
      <c r="F25" s="215">
        <f>F29-F30-F31-F35-F38-F39-F58-F59-F89</f>
        <v>69.713869999999972</v>
      </c>
      <c r="G25" s="216">
        <f>G29-G30-G31-G35-G38-G39-G58-G59-G89</f>
        <v>38.206620000000008</v>
      </c>
      <c r="H25" s="217">
        <f>H29-H30-H31-H35-H38-H39-H58-H59-H89</f>
        <v>186.04350000000002</v>
      </c>
      <c r="I25" s="212">
        <f t="shared" ref="I25:I56" si="12">SUM(J25:L25)</f>
        <v>430.18243999999993</v>
      </c>
      <c r="J25" s="215">
        <f t="shared" ref="J25:Q25" si="13">J29-J30-J31-J35-J38-J39-J58-J59-J89</f>
        <v>183.48268999999999</v>
      </c>
      <c r="K25" s="216">
        <f t="shared" si="13"/>
        <v>195.25522999999995</v>
      </c>
      <c r="L25" s="216">
        <f t="shared" si="13"/>
        <v>51.444519999999997</v>
      </c>
      <c r="M25" s="212">
        <f t="shared" si="13"/>
        <v>22.083200000000001</v>
      </c>
      <c r="N25" s="218">
        <f>SUM(O25:P25)</f>
        <v>125.84195000000001</v>
      </c>
      <c r="O25" s="219">
        <f t="shared" si="13"/>
        <v>125.84195000000001</v>
      </c>
      <c r="P25" s="217">
        <f t="shared" si="13"/>
        <v>0</v>
      </c>
      <c r="Q25" s="212">
        <f t="shared" si="13"/>
        <v>12.58399</v>
      </c>
      <c r="T25" s="120"/>
      <c r="U25" s="120"/>
      <c r="V25" s="211"/>
    </row>
    <row r="26" spans="1:22">
      <c r="B26" s="212" t="s">
        <v>290</v>
      </c>
      <c r="C26" s="220" t="s">
        <v>291</v>
      </c>
      <c r="D26" s="221">
        <f t="shared" si="9"/>
        <v>155.03907000000001</v>
      </c>
      <c r="E26" s="222">
        <f t="shared" si="11"/>
        <v>53.627254621556993</v>
      </c>
      <c r="F26" s="223">
        <f>F90-F92-F140</f>
        <v>3.6699918415980011</v>
      </c>
      <c r="G26" s="224">
        <f>G90-G92-G140</f>
        <v>3.4866581413229998</v>
      </c>
      <c r="H26" s="225">
        <f>H90-H92-H140</f>
        <v>46.47060463863599</v>
      </c>
      <c r="I26" s="222">
        <f t="shared" si="12"/>
        <v>101.10268297677003</v>
      </c>
      <c r="J26" s="223">
        <f t="shared" ref="J26:Q26" si="14">J90-J92-J140</f>
        <v>77.042820867564018</v>
      </c>
      <c r="K26" s="224">
        <f t="shared" si="14"/>
        <v>21.980943219576005</v>
      </c>
      <c r="L26" s="224">
        <f t="shared" si="14"/>
        <v>2.0789188896300002</v>
      </c>
      <c r="M26" s="222">
        <f t="shared" si="14"/>
        <v>1.3069793600999999E-2</v>
      </c>
      <c r="N26" s="226">
        <f>SUM(O26:P26)</f>
        <v>0.28493080284599998</v>
      </c>
      <c r="O26" s="227">
        <f t="shared" si="14"/>
        <v>0.28493080284599998</v>
      </c>
      <c r="P26" s="225">
        <f t="shared" si="14"/>
        <v>0</v>
      </c>
      <c r="Q26" s="222">
        <f t="shared" si="14"/>
        <v>1.1131805226E-2</v>
      </c>
    </row>
    <row r="27" spans="1:22">
      <c r="B27" s="212" t="s">
        <v>292</v>
      </c>
      <c r="C27" s="228" t="s">
        <v>293</v>
      </c>
      <c r="D27" s="229">
        <f t="shared" si="9"/>
        <v>365.08982999999995</v>
      </c>
      <c r="E27" s="230">
        <f t="shared" si="11"/>
        <v>121.83111691047654</v>
      </c>
      <c r="F27" s="231">
        <f>F186</f>
        <v>25.746380223517352</v>
      </c>
      <c r="G27" s="232">
        <f>G186</f>
        <v>14.586813309058206</v>
      </c>
      <c r="H27" s="233">
        <f>H186</f>
        <v>81.497923377900989</v>
      </c>
      <c r="I27" s="230">
        <f t="shared" si="12"/>
        <v>187.20459088720298</v>
      </c>
      <c r="J27" s="231">
        <f t="shared" ref="J27:Q27" si="15">J186</f>
        <v>91.816921730918295</v>
      </c>
      <c r="K27" s="232">
        <f t="shared" si="15"/>
        <v>76.662553198798904</v>
      </c>
      <c r="L27" s="232">
        <f t="shared" si="15"/>
        <v>18.725115957485805</v>
      </c>
      <c r="M27" s="230">
        <f t="shared" si="15"/>
        <v>7.7014916372625946</v>
      </c>
      <c r="N27" s="234">
        <f>SUM(O27:P27)</f>
        <v>43.962657736822926</v>
      </c>
      <c r="O27" s="235">
        <f t="shared" si="15"/>
        <v>43.962657736822926</v>
      </c>
      <c r="P27" s="233">
        <f t="shared" si="15"/>
        <v>0</v>
      </c>
      <c r="Q27" s="230">
        <f t="shared" si="15"/>
        <v>4.3899728282349546</v>
      </c>
    </row>
    <row r="28" spans="1:22">
      <c r="B28" s="209" t="s">
        <v>294</v>
      </c>
      <c r="C28" s="210" t="s">
        <v>295</v>
      </c>
      <c r="D28" s="201">
        <f t="shared" si="9"/>
        <v>281.56126000000006</v>
      </c>
      <c r="E28" s="200">
        <f t="shared" si="11"/>
        <v>151.55070000000001</v>
      </c>
      <c r="F28" s="202">
        <f>F30+F31+F35+F38+F39+F58+F59+F89+F92+F140</f>
        <v>147.00229000000002</v>
      </c>
      <c r="G28" s="203">
        <f>G30+G31+G35+G38+G39+G58+G59+G89+G92+G140</f>
        <v>1.3897599999999999</v>
      </c>
      <c r="H28" s="204">
        <f>H30+H31+H35+H38+H39+H58+H59+H89+H92+H140</f>
        <v>3.1586500000000002</v>
      </c>
      <c r="I28" s="200">
        <f t="shared" si="12"/>
        <v>129.88656</v>
      </c>
      <c r="J28" s="202">
        <f t="shared" ref="J28:Q28" si="16">J30+J31+J35+J38+J39+J58+J59+J89+J92+J140</f>
        <v>34.272759999999998</v>
      </c>
      <c r="K28" s="203">
        <f t="shared" si="16"/>
        <v>83.477959999999996</v>
      </c>
      <c r="L28" s="203">
        <f t="shared" si="16"/>
        <v>12.13584</v>
      </c>
      <c r="M28" s="200">
        <f t="shared" si="16"/>
        <v>0.124</v>
      </c>
      <c r="N28" s="205">
        <f>SUM(O28:P28)</f>
        <v>0</v>
      </c>
      <c r="O28" s="206">
        <f t="shared" si="16"/>
        <v>0</v>
      </c>
      <c r="P28" s="204">
        <f t="shared" si="16"/>
        <v>0</v>
      </c>
      <c r="Q28" s="200">
        <f t="shared" si="16"/>
        <v>0</v>
      </c>
    </row>
    <row r="29" spans="1:22" ht="45" customHeight="1" thickTop="1" thickBot="1">
      <c r="B29" s="133" t="s">
        <v>53</v>
      </c>
      <c r="C29" s="134" t="s">
        <v>296</v>
      </c>
      <c r="D29" s="236">
        <f t="shared" si="9"/>
        <v>1166.2168300000001</v>
      </c>
      <c r="E29" s="133">
        <f t="shared" si="11"/>
        <v>445.51468999999997</v>
      </c>
      <c r="F29" s="237">
        <f>F30+F31+F34+F37+F40+F43+F45+F51+F52+F57+F63+F66+F81+F82</f>
        <v>216.71615999999997</v>
      </c>
      <c r="G29" s="238">
        <f>G30+G31+G34+G37+G40+G43+G45+G51+G52+G57+G63+G66+G81+G82</f>
        <v>39.596380000000003</v>
      </c>
      <c r="H29" s="239">
        <f>H30+H31+H34+H37+H40+H43+H45+H51+H52+H57+H63+H66+H81+H82</f>
        <v>189.20215000000002</v>
      </c>
      <c r="I29" s="133">
        <f t="shared" si="12"/>
        <v>560.06899999999996</v>
      </c>
      <c r="J29" s="237">
        <f t="shared" ref="J29:Q29" si="17">J30+J31+J34+J37+J40+J43+J45+J51+J52+J57+J63+J66+J81+J82</f>
        <v>217.75545</v>
      </c>
      <c r="K29" s="238">
        <f t="shared" si="17"/>
        <v>278.73318999999998</v>
      </c>
      <c r="L29" s="238">
        <f t="shared" si="17"/>
        <v>63.580359999999999</v>
      </c>
      <c r="M29" s="133">
        <f t="shared" si="17"/>
        <v>22.2072</v>
      </c>
      <c r="N29" s="240">
        <f>SUM(O29:P29)</f>
        <v>125.84195000000001</v>
      </c>
      <c r="O29" s="241">
        <f t="shared" si="17"/>
        <v>125.84195000000001</v>
      </c>
      <c r="P29" s="239">
        <f t="shared" si="17"/>
        <v>0</v>
      </c>
      <c r="Q29" s="133">
        <f t="shared" si="17"/>
        <v>12.58399</v>
      </c>
      <c r="R29" s="242"/>
      <c r="S29" s="242"/>
      <c r="T29" s="211"/>
    </row>
    <row r="30" spans="1:22">
      <c r="B30" s="142" t="s">
        <v>55</v>
      </c>
      <c r="C30" s="143" t="s">
        <v>264</v>
      </c>
      <c r="D30" s="144">
        <f t="shared" si="9"/>
        <v>4.4276099999999996</v>
      </c>
      <c r="E30" s="145">
        <f t="shared" si="11"/>
        <v>4.4276099999999996</v>
      </c>
      <c r="F30" s="243">
        <v>2.3362099999999999</v>
      </c>
      <c r="G30" s="244">
        <v>0</v>
      </c>
      <c r="H30" s="245">
        <v>2.0914000000000001</v>
      </c>
      <c r="I30" s="145">
        <f t="shared" si="12"/>
        <v>0</v>
      </c>
      <c r="J30" s="243">
        <v>0</v>
      </c>
      <c r="K30" s="244">
        <v>0</v>
      </c>
      <c r="L30" s="244">
        <v>0</v>
      </c>
      <c r="M30" s="246">
        <v>0</v>
      </c>
      <c r="N30" s="153">
        <f t="shared" ref="N30:N50" si="18">SUM(O30:P30)</f>
        <v>0</v>
      </c>
      <c r="O30" s="247">
        <v>0</v>
      </c>
      <c r="P30" s="245">
        <v>0</v>
      </c>
      <c r="Q30" s="248">
        <v>0</v>
      </c>
    </row>
    <row r="31" spans="1:22">
      <c r="B31" s="150" t="s">
        <v>138</v>
      </c>
      <c r="C31" s="249" t="s">
        <v>265</v>
      </c>
      <c r="D31" s="152">
        <f t="shared" si="9"/>
        <v>0</v>
      </c>
      <c r="E31" s="153">
        <v>0</v>
      </c>
      <c r="F31" s="154">
        <f>SUM(F32:F33)</f>
        <v>0</v>
      </c>
      <c r="G31" s="155">
        <f>SUM(G32:G33)</f>
        <v>0</v>
      </c>
      <c r="H31" s="156">
        <f>SUM(H32:H33)</f>
        <v>0</v>
      </c>
      <c r="I31" s="153">
        <f t="shared" si="12"/>
        <v>0</v>
      </c>
      <c r="J31" s="154">
        <f t="shared" ref="J31:Q31" si="19">SUM(J32:J33)</f>
        <v>0</v>
      </c>
      <c r="K31" s="155">
        <f t="shared" si="19"/>
        <v>0</v>
      </c>
      <c r="L31" s="155">
        <f t="shared" si="19"/>
        <v>0</v>
      </c>
      <c r="M31" s="152">
        <f t="shared" si="19"/>
        <v>0</v>
      </c>
      <c r="N31" s="153">
        <f t="shared" si="18"/>
        <v>0</v>
      </c>
      <c r="O31" s="158">
        <f t="shared" si="19"/>
        <v>0</v>
      </c>
      <c r="P31" s="156">
        <f t="shared" si="19"/>
        <v>0</v>
      </c>
      <c r="Q31" s="153">
        <f t="shared" si="19"/>
        <v>0</v>
      </c>
    </row>
    <row r="32" spans="1:22">
      <c r="B32" s="169" t="s">
        <v>140</v>
      </c>
      <c r="C32" s="170" t="s">
        <v>265</v>
      </c>
      <c r="D32" s="214">
        <f>I32+M32</f>
        <v>0</v>
      </c>
      <c r="E32" s="250"/>
      <c r="F32" s="251">
        <v>0</v>
      </c>
      <c r="G32" s="96">
        <v>0</v>
      </c>
      <c r="H32" s="252">
        <v>0</v>
      </c>
      <c r="I32" s="253">
        <f t="shared" si="12"/>
        <v>0</v>
      </c>
      <c r="J32" s="251">
        <v>0</v>
      </c>
      <c r="K32" s="96">
        <v>0</v>
      </c>
      <c r="L32" s="96">
        <v>0</v>
      </c>
      <c r="M32" s="254">
        <v>0</v>
      </c>
      <c r="N32" s="212">
        <f t="shared" si="18"/>
        <v>0</v>
      </c>
      <c r="O32" s="255">
        <v>0</v>
      </c>
      <c r="P32" s="252">
        <v>0</v>
      </c>
      <c r="Q32" s="250">
        <v>0</v>
      </c>
    </row>
    <row r="33" spans="2:20">
      <c r="B33" s="169" t="s">
        <v>142</v>
      </c>
      <c r="C33" s="170" t="s">
        <v>297</v>
      </c>
      <c r="D33" s="214">
        <f>I33+M33</f>
        <v>0</v>
      </c>
      <c r="E33" s="250"/>
      <c r="F33" s="251">
        <v>0</v>
      </c>
      <c r="G33" s="96">
        <v>0</v>
      </c>
      <c r="H33" s="252">
        <v>0</v>
      </c>
      <c r="I33" s="253">
        <f t="shared" si="12"/>
        <v>0</v>
      </c>
      <c r="J33" s="251">
        <v>0</v>
      </c>
      <c r="K33" s="96">
        <v>0</v>
      </c>
      <c r="L33" s="96">
        <v>0</v>
      </c>
      <c r="M33" s="254">
        <v>0</v>
      </c>
      <c r="N33" s="212">
        <f t="shared" si="18"/>
        <v>0</v>
      </c>
      <c r="O33" s="255">
        <v>0</v>
      </c>
      <c r="P33" s="252">
        <v>0</v>
      </c>
      <c r="Q33" s="250">
        <v>0</v>
      </c>
    </row>
    <row r="34" spans="2:20">
      <c r="B34" s="150" t="s">
        <v>298</v>
      </c>
      <c r="C34" s="249" t="s">
        <v>299</v>
      </c>
      <c r="D34" s="152">
        <f t="shared" ref="D34:D89" si="20">E34+I34+M34+N34+Q34</f>
        <v>173.70687000000001</v>
      </c>
      <c r="E34" s="153">
        <f>E35+E36</f>
        <v>65.411770000000004</v>
      </c>
      <c r="F34" s="154">
        <f>F35+F36</f>
        <v>63.403509999999997</v>
      </c>
      <c r="G34" s="155">
        <f>G35+G36</f>
        <v>0.94101000000000001</v>
      </c>
      <c r="H34" s="156">
        <f>H35+H36</f>
        <v>1.06725</v>
      </c>
      <c r="I34" s="153">
        <f t="shared" si="12"/>
        <v>108.29510000000001</v>
      </c>
      <c r="J34" s="154">
        <f t="shared" ref="J34:Q34" si="21">SUM(J35:J36)</f>
        <v>34.272759999999998</v>
      </c>
      <c r="K34" s="155">
        <f t="shared" si="21"/>
        <v>69.519000000000005</v>
      </c>
      <c r="L34" s="155">
        <f t="shared" si="21"/>
        <v>4.5033399999999997</v>
      </c>
      <c r="M34" s="152">
        <f t="shared" si="21"/>
        <v>0</v>
      </c>
      <c r="N34" s="153">
        <f t="shared" si="18"/>
        <v>0</v>
      </c>
      <c r="O34" s="158">
        <f t="shared" si="21"/>
        <v>0</v>
      </c>
      <c r="P34" s="156">
        <f t="shared" si="21"/>
        <v>0</v>
      </c>
      <c r="Q34" s="153">
        <f t="shared" si="21"/>
        <v>0</v>
      </c>
      <c r="T34" s="211"/>
    </row>
    <row r="35" spans="2:20" ht="33" customHeight="1">
      <c r="B35" s="169" t="s">
        <v>300</v>
      </c>
      <c r="C35" s="170" t="s">
        <v>267</v>
      </c>
      <c r="D35" s="214">
        <f t="shared" si="20"/>
        <v>167.16049999999998</v>
      </c>
      <c r="E35" s="212">
        <f t="shared" ref="E35:E97" si="22">SUM(F35:H35)</f>
        <v>65.289439999999999</v>
      </c>
      <c r="F35" s="251">
        <v>63.281179999999999</v>
      </c>
      <c r="G35" s="96">
        <v>0.94101000000000001</v>
      </c>
      <c r="H35" s="252">
        <v>1.06725</v>
      </c>
      <c r="I35" s="212">
        <f t="shared" si="12"/>
        <v>101.87105999999999</v>
      </c>
      <c r="J35" s="251">
        <v>34.272759999999998</v>
      </c>
      <c r="K35" s="96">
        <v>63.09496</v>
      </c>
      <c r="L35" s="96">
        <v>4.5033399999999997</v>
      </c>
      <c r="M35" s="254">
        <v>0</v>
      </c>
      <c r="N35" s="212">
        <f t="shared" si="18"/>
        <v>0</v>
      </c>
      <c r="O35" s="255">
        <v>0</v>
      </c>
      <c r="P35" s="252">
        <v>0</v>
      </c>
      <c r="Q35" s="250">
        <v>0</v>
      </c>
    </row>
    <row r="36" spans="2:20" ht="26.25" customHeight="1">
      <c r="B36" s="169" t="s">
        <v>301</v>
      </c>
      <c r="C36" s="170" t="s">
        <v>302</v>
      </c>
      <c r="D36" s="214">
        <f t="shared" si="20"/>
        <v>6.5463699999999996</v>
      </c>
      <c r="E36" s="212">
        <f t="shared" si="22"/>
        <v>0.12232999999999999</v>
      </c>
      <c r="F36" s="251">
        <v>0.12232999999999999</v>
      </c>
      <c r="G36" s="256">
        <v>0</v>
      </c>
      <c r="H36" s="257">
        <v>0</v>
      </c>
      <c r="I36" s="212">
        <f t="shared" si="12"/>
        <v>6.4240399999999998</v>
      </c>
      <c r="J36" s="258">
        <v>0</v>
      </c>
      <c r="K36" s="256">
        <v>6.4240399999999998</v>
      </c>
      <c r="L36" s="256">
        <v>0</v>
      </c>
      <c r="M36" s="254">
        <v>0</v>
      </c>
      <c r="N36" s="212">
        <f t="shared" si="18"/>
        <v>0</v>
      </c>
      <c r="O36" s="255">
        <v>0</v>
      </c>
      <c r="P36" s="252">
        <v>0</v>
      </c>
      <c r="Q36" s="250">
        <v>0</v>
      </c>
    </row>
    <row r="37" spans="2:20">
      <c r="B37" s="150" t="s">
        <v>303</v>
      </c>
      <c r="C37" s="249" t="s">
        <v>269</v>
      </c>
      <c r="D37" s="152">
        <f t="shared" si="20"/>
        <v>8.0812500000000007</v>
      </c>
      <c r="E37" s="153">
        <f t="shared" si="22"/>
        <v>0.44874999999999998</v>
      </c>
      <c r="F37" s="154">
        <f>F38</f>
        <v>0</v>
      </c>
      <c r="G37" s="155">
        <f>G38</f>
        <v>0.44874999999999998</v>
      </c>
      <c r="H37" s="156">
        <f>H38</f>
        <v>0</v>
      </c>
      <c r="I37" s="153">
        <f t="shared" si="12"/>
        <v>7.6325000000000003</v>
      </c>
      <c r="J37" s="154">
        <f t="shared" ref="J37:Q37" si="23">SUM(J38:J39)</f>
        <v>0</v>
      </c>
      <c r="K37" s="155">
        <f t="shared" si="23"/>
        <v>0</v>
      </c>
      <c r="L37" s="155">
        <f t="shared" si="23"/>
        <v>7.6325000000000003</v>
      </c>
      <c r="M37" s="152">
        <f t="shared" si="23"/>
        <v>0</v>
      </c>
      <c r="N37" s="153">
        <f t="shared" si="18"/>
        <v>0</v>
      </c>
      <c r="O37" s="158">
        <f t="shared" si="23"/>
        <v>0</v>
      </c>
      <c r="P37" s="156">
        <f t="shared" si="23"/>
        <v>0</v>
      </c>
      <c r="Q37" s="153">
        <f t="shared" si="23"/>
        <v>0</v>
      </c>
    </row>
    <row r="38" spans="2:20">
      <c r="B38" s="169" t="s">
        <v>304</v>
      </c>
      <c r="C38" s="170" t="s">
        <v>305</v>
      </c>
      <c r="D38" s="214">
        <f t="shared" si="20"/>
        <v>8.0812500000000007</v>
      </c>
      <c r="E38" s="212">
        <f t="shared" si="22"/>
        <v>0.44874999999999998</v>
      </c>
      <c r="F38" s="258">
        <v>0</v>
      </c>
      <c r="G38" s="256">
        <v>0.44874999999999998</v>
      </c>
      <c r="H38" s="257">
        <v>0</v>
      </c>
      <c r="I38" s="212">
        <f t="shared" si="12"/>
        <v>7.6325000000000003</v>
      </c>
      <c r="J38" s="258">
        <v>0</v>
      </c>
      <c r="K38" s="256">
        <v>0</v>
      </c>
      <c r="L38" s="256">
        <v>7.6325000000000003</v>
      </c>
      <c r="M38" s="259">
        <v>0</v>
      </c>
      <c r="N38" s="212">
        <f t="shared" si="18"/>
        <v>0</v>
      </c>
      <c r="O38" s="255">
        <v>0</v>
      </c>
      <c r="P38" s="252">
        <v>0</v>
      </c>
      <c r="Q38" s="250">
        <v>0</v>
      </c>
    </row>
    <row r="39" spans="2:20">
      <c r="B39" s="169" t="s">
        <v>306</v>
      </c>
      <c r="C39" s="170" t="s">
        <v>307</v>
      </c>
      <c r="D39" s="214">
        <f t="shared" si="20"/>
        <v>0</v>
      </c>
      <c r="E39" s="212">
        <f t="shared" si="22"/>
        <v>0</v>
      </c>
      <c r="F39" s="258">
        <v>0</v>
      </c>
      <c r="G39" s="256">
        <v>0</v>
      </c>
      <c r="H39" s="257">
        <v>0</v>
      </c>
      <c r="I39" s="212">
        <f t="shared" si="12"/>
        <v>0</v>
      </c>
      <c r="J39" s="258">
        <v>0</v>
      </c>
      <c r="K39" s="256">
        <v>0</v>
      </c>
      <c r="L39" s="256">
        <v>0</v>
      </c>
      <c r="M39" s="259">
        <v>0</v>
      </c>
      <c r="N39" s="212">
        <f t="shared" si="18"/>
        <v>0</v>
      </c>
      <c r="O39" s="255">
        <v>0</v>
      </c>
      <c r="P39" s="252">
        <v>0</v>
      </c>
      <c r="Q39" s="250">
        <v>0</v>
      </c>
    </row>
    <row r="40" spans="2:20">
      <c r="B40" s="150" t="s">
        <v>308</v>
      </c>
      <c r="C40" s="249" t="s">
        <v>309</v>
      </c>
      <c r="D40" s="152">
        <f t="shared" si="20"/>
        <v>31.700470000000003</v>
      </c>
      <c r="E40" s="153">
        <f t="shared" si="22"/>
        <v>2.2411099999999999</v>
      </c>
      <c r="F40" s="154">
        <f>SUM(F41:F42)</f>
        <v>0</v>
      </c>
      <c r="G40" s="155">
        <f>SUM(G41:G42)</f>
        <v>0</v>
      </c>
      <c r="H40" s="156">
        <f>SUM(H41:H42)</f>
        <v>2.2411099999999999</v>
      </c>
      <c r="I40" s="153">
        <f t="shared" si="12"/>
        <v>15.70086</v>
      </c>
      <c r="J40" s="154">
        <f t="shared" ref="J40:Q40" si="24">SUM(J41:J42)</f>
        <v>8.1252800000000001</v>
      </c>
      <c r="K40" s="155">
        <f t="shared" si="24"/>
        <v>0</v>
      </c>
      <c r="L40" s="155">
        <f t="shared" si="24"/>
        <v>7.5755800000000004</v>
      </c>
      <c r="M40" s="152">
        <f t="shared" si="24"/>
        <v>1.61277</v>
      </c>
      <c r="N40" s="153">
        <f t="shared" si="18"/>
        <v>7.5978500000000002</v>
      </c>
      <c r="O40" s="158">
        <f t="shared" si="24"/>
        <v>7.5978500000000002</v>
      </c>
      <c r="P40" s="156">
        <f t="shared" si="24"/>
        <v>0</v>
      </c>
      <c r="Q40" s="153">
        <f t="shared" si="24"/>
        <v>4.5478800000000001</v>
      </c>
    </row>
    <row r="41" spans="2:20" ht="31.5" customHeight="1">
      <c r="B41" s="169" t="s">
        <v>310</v>
      </c>
      <c r="C41" s="170" t="s">
        <v>311</v>
      </c>
      <c r="D41" s="214">
        <f t="shared" si="20"/>
        <v>20.248740000000002</v>
      </c>
      <c r="E41" s="212">
        <f t="shared" si="22"/>
        <v>0</v>
      </c>
      <c r="F41" s="251">
        <v>0</v>
      </c>
      <c r="G41" s="96">
        <v>0</v>
      </c>
      <c r="H41" s="252">
        <v>0</v>
      </c>
      <c r="I41" s="212">
        <f t="shared" si="12"/>
        <v>15.70086</v>
      </c>
      <c r="J41" s="251">
        <v>8.1252800000000001</v>
      </c>
      <c r="K41" s="96">
        <v>0</v>
      </c>
      <c r="L41" s="96">
        <v>7.5755800000000004</v>
      </c>
      <c r="M41" s="254">
        <v>0</v>
      </c>
      <c r="N41" s="212">
        <f t="shared" si="18"/>
        <v>0</v>
      </c>
      <c r="O41" s="255">
        <v>0</v>
      </c>
      <c r="P41" s="252">
        <v>0</v>
      </c>
      <c r="Q41" s="250">
        <v>4.5478800000000001</v>
      </c>
    </row>
    <row r="42" spans="2:20">
      <c r="B42" s="169" t="s">
        <v>312</v>
      </c>
      <c r="C42" s="170" t="s">
        <v>313</v>
      </c>
      <c r="D42" s="214">
        <f t="shared" si="20"/>
        <v>11.451730000000001</v>
      </c>
      <c r="E42" s="212">
        <f t="shared" si="22"/>
        <v>2.2411099999999999</v>
      </c>
      <c r="F42" s="251">
        <v>0</v>
      </c>
      <c r="G42" s="96">
        <v>0</v>
      </c>
      <c r="H42" s="252">
        <v>2.2411099999999999</v>
      </c>
      <c r="I42" s="212">
        <f t="shared" si="12"/>
        <v>0</v>
      </c>
      <c r="J42" s="251">
        <v>0</v>
      </c>
      <c r="K42" s="96">
        <v>0</v>
      </c>
      <c r="L42" s="96">
        <v>0</v>
      </c>
      <c r="M42" s="254">
        <v>1.61277</v>
      </c>
      <c r="N42" s="212">
        <f t="shared" si="18"/>
        <v>7.5978500000000002</v>
      </c>
      <c r="O42" s="255">
        <v>7.5978500000000002</v>
      </c>
      <c r="P42" s="252">
        <v>0</v>
      </c>
      <c r="Q42" s="250">
        <v>0</v>
      </c>
    </row>
    <row r="43" spans="2:20">
      <c r="B43" s="150" t="s">
        <v>314</v>
      </c>
      <c r="C43" s="249" t="s">
        <v>315</v>
      </c>
      <c r="D43" s="152">
        <f t="shared" si="20"/>
        <v>0</v>
      </c>
      <c r="E43" s="153">
        <f t="shared" si="22"/>
        <v>0</v>
      </c>
      <c r="F43" s="154">
        <f>F44</f>
        <v>0</v>
      </c>
      <c r="G43" s="155">
        <f>G44</f>
        <v>0</v>
      </c>
      <c r="H43" s="156">
        <f>H44</f>
        <v>0</v>
      </c>
      <c r="I43" s="153">
        <f t="shared" si="12"/>
        <v>0</v>
      </c>
      <c r="J43" s="154">
        <f t="shared" ref="J43:Q43" si="25">J44</f>
        <v>0</v>
      </c>
      <c r="K43" s="155">
        <f t="shared" si="25"/>
        <v>0</v>
      </c>
      <c r="L43" s="155">
        <f t="shared" si="25"/>
        <v>0</v>
      </c>
      <c r="M43" s="152">
        <f t="shared" si="25"/>
        <v>0</v>
      </c>
      <c r="N43" s="153">
        <f t="shared" si="18"/>
        <v>0</v>
      </c>
      <c r="O43" s="158">
        <f t="shared" si="25"/>
        <v>0</v>
      </c>
      <c r="P43" s="156">
        <f t="shared" si="25"/>
        <v>0</v>
      </c>
      <c r="Q43" s="153">
        <f t="shared" si="25"/>
        <v>0</v>
      </c>
    </row>
    <row r="44" spans="2:20">
      <c r="B44" s="169" t="s">
        <v>316</v>
      </c>
      <c r="C44" s="170" t="s">
        <v>317</v>
      </c>
      <c r="D44" s="214">
        <f t="shared" si="20"/>
        <v>0</v>
      </c>
      <c r="E44" s="212">
        <f t="shared" si="22"/>
        <v>0</v>
      </c>
      <c r="F44" s="251">
        <v>0</v>
      </c>
      <c r="G44" s="96">
        <v>0</v>
      </c>
      <c r="H44" s="252">
        <v>0</v>
      </c>
      <c r="I44" s="212">
        <f t="shared" si="12"/>
        <v>0</v>
      </c>
      <c r="J44" s="251">
        <v>0</v>
      </c>
      <c r="K44" s="96">
        <v>0</v>
      </c>
      <c r="L44" s="96">
        <v>0</v>
      </c>
      <c r="M44" s="254">
        <v>0</v>
      </c>
      <c r="N44" s="212">
        <f t="shared" si="18"/>
        <v>0</v>
      </c>
      <c r="O44" s="255">
        <v>0</v>
      </c>
      <c r="P44" s="252">
        <v>0</v>
      </c>
      <c r="Q44" s="250">
        <v>0</v>
      </c>
    </row>
    <row r="45" spans="2:20">
      <c r="B45" s="150" t="s">
        <v>318</v>
      </c>
      <c r="C45" s="249" t="s">
        <v>319</v>
      </c>
      <c r="D45" s="152">
        <f t="shared" si="20"/>
        <v>82.872440000000012</v>
      </c>
      <c r="E45" s="153">
        <f t="shared" si="22"/>
        <v>41.835470000000001</v>
      </c>
      <c r="F45" s="154">
        <f>SUM(F46:F50)</f>
        <v>19.540140000000001</v>
      </c>
      <c r="G45" s="155">
        <f>SUM(G46:G50)</f>
        <v>6.7242300000000004</v>
      </c>
      <c r="H45" s="156">
        <f>SUM(H46:H50)</f>
        <v>15.571099999999999</v>
      </c>
      <c r="I45" s="153">
        <f t="shared" si="12"/>
        <v>21.703949999999999</v>
      </c>
      <c r="J45" s="154">
        <f t="shared" ref="J45:Q45" si="26">SUM(J46:J50)</f>
        <v>12.129639999999998</v>
      </c>
      <c r="K45" s="155">
        <f t="shared" si="26"/>
        <v>4.2858700000000001</v>
      </c>
      <c r="L45" s="155">
        <f t="shared" si="26"/>
        <v>5.2884399999999996</v>
      </c>
      <c r="M45" s="152">
        <f t="shared" si="26"/>
        <v>1.2007699999999999</v>
      </c>
      <c r="N45" s="153">
        <f t="shared" si="18"/>
        <v>17.176819999999999</v>
      </c>
      <c r="O45" s="158">
        <f t="shared" si="26"/>
        <v>17.176819999999999</v>
      </c>
      <c r="P45" s="156">
        <f t="shared" si="26"/>
        <v>0</v>
      </c>
      <c r="Q45" s="153">
        <f t="shared" si="26"/>
        <v>0.95543</v>
      </c>
    </row>
    <row r="46" spans="2:20">
      <c r="B46" s="169" t="s">
        <v>320</v>
      </c>
      <c r="C46" s="170" t="s">
        <v>273</v>
      </c>
      <c r="D46" s="214">
        <f t="shared" si="20"/>
        <v>40.511380000000003</v>
      </c>
      <c r="E46" s="212">
        <f t="shared" si="22"/>
        <v>19.450040000000001</v>
      </c>
      <c r="F46" s="251">
        <v>2.5733799999999998</v>
      </c>
      <c r="G46" s="96">
        <v>2.3347500000000001</v>
      </c>
      <c r="H46" s="252">
        <v>14.54191</v>
      </c>
      <c r="I46" s="212">
        <f t="shared" si="12"/>
        <v>15.592849999999999</v>
      </c>
      <c r="J46" s="251">
        <v>10.269729999999999</v>
      </c>
      <c r="K46" s="96">
        <v>1.88856</v>
      </c>
      <c r="L46" s="96">
        <v>3.4345599999999998</v>
      </c>
      <c r="M46" s="254">
        <v>0.90173000000000003</v>
      </c>
      <c r="N46" s="212">
        <f t="shared" si="18"/>
        <v>3.6113300000000002</v>
      </c>
      <c r="O46" s="255">
        <v>3.6113300000000002</v>
      </c>
      <c r="P46" s="252">
        <v>0</v>
      </c>
      <c r="Q46" s="250">
        <v>0.95543</v>
      </c>
    </row>
    <row r="47" spans="2:20">
      <c r="B47" s="169" t="s">
        <v>321</v>
      </c>
      <c r="C47" s="170" t="s">
        <v>277</v>
      </c>
      <c r="D47" s="214">
        <f t="shared" si="20"/>
        <v>28.849860000000003</v>
      </c>
      <c r="E47" s="212">
        <f t="shared" si="22"/>
        <v>22.385429999999999</v>
      </c>
      <c r="F47" s="251">
        <v>16.966760000000001</v>
      </c>
      <c r="G47" s="96">
        <v>4.3894799999999998</v>
      </c>
      <c r="H47" s="252">
        <v>1.02919</v>
      </c>
      <c r="I47" s="212">
        <f t="shared" si="12"/>
        <v>6.1111000000000004</v>
      </c>
      <c r="J47" s="251">
        <v>1.85991</v>
      </c>
      <c r="K47" s="96">
        <v>2.3973100000000001</v>
      </c>
      <c r="L47" s="96">
        <v>1.85388</v>
      </c>
      <c r="M47" s="254">
        <v>0.29903999999999997</v>
      </c>
      <c r="N47" s="212">
        <f t="shared" si="18"/>
        <v>5.4289999999999998E-2</v>
      </c>
      <c r="O47" s="255">
        <v>5.4289999999999998E-2</v>
      </c>
      <c r="P47" s="252">
        <v>0</v>
      </c>
      <c r="Q47" s="250">
        <v>0</v>
      </c>
    </row>
    <row r="48" spans="2:20">
      <c r="B48" s="169" t="s">
        <v>322</v>
      </c>
      <c r="C48" s="260" t="s">
        <v>323</v>
      </c>
      <c r="D48" s="214">
        <f t="shared" si="20"/>
        <v>13.511200000000001</v>
      </c>
      <c r="E48" s="212">
        <f t="shared" si="22"/>
        <v>0</v>
      </c>
      <c r="F48" s="251">
        <v>0</v>
      </c>
      <c r="G48" s="96">
        <v>0</v>
      </c>
      <c r="H48" s="252">
        <v>0</v>
      </c>
      <c r="I48" s="212">
        <f t="shared" si="12"/>
        <v>0</v>
      </c>
      <c r="J48" s="251">
        <v>0</v>
      </c>
      <c r="K48" s="96">
        <v>0</v>
      </c>
      <c r="L48" s="96">
        <v>0</v>
      </c>
      <c r="M48" s="254">
        <v>0</v>
      </c>
      <c r="N48" s="212">
        <f t="shared" si="18"/>
        <v>13.511200000000001</v>
      </c>
      <c r="O48" s="255">
        <v>13.511200000000001</v>
      </c>
      <c r="P48" s="252">
        <v>0</v>
      </c>
      <c r="Q48" s="250">
        <v>0</v>
      </c>
    </row>
    <row r="49" spans="2:17">
      <c r="B49" s="169" t="s">
        <v>324</v>
      </c>
      <c r="C49" s="261" t="s">
        <v>275</v>
      </c>
      <c r="D49" s="214">
        <f t="shared" si="20"/>
        <v>0</v>
      </c>
      <c r="E49" s="212">
        <f t="shared" si="22"/>
        <v>0</v>
      </c>
      <c r="F49" s="251">
        <v>0</v>
      </c>
      <c r="G49" s="96">
        <v>0</v>
      </c>
      <c r="H49" s="252">
        <v>0</v>
      </c>
      <c r="I49" s="212">
        <f t="shared" si="12"/>
        <v>0</v>
      </c>
      <c r="J49" s="251">
        <v>0</v>
      </c>
      <c r="K49" s="96">
        <v>0</v>
      </c>
      <c r="L49" s="96">
        <v>0</v>
      </c>
      <c r="M49" s="254">
        <v>0</v>
      </c>
      <c r="N49" s="212">
        <f t="shared" si="18"/>
        <v>0</v>
      </c>
      <c r="O49" s="255">
        <v>0</v>
      </c>
      <c r="P49" s="252">
        <v>0</v>
      </c>
      <c r="Q49" s="250">
        <v>0</v>
      </c>
    </row>
    <row r="50" spans="2:17" ht="29.25" customHeight="1">
      <c r="B50" s="169" t="s">
        <v>325</v>
      </c>
      <c r="C50" s="261" t="s">
        <v>326</v>
      </c>
      <c r="D50" s="214">
        <f t="shared" si="20"/>
        <v>0</v>
      </c>
      <c r="E50" s="212">
        <f t="shared" si="22"/>
        <v>0</v>
      </c>
      <c r="F50" s="251">
        <v>0</v>
      </c>
      <c r="G50" s="96">
        <v>0</v>
      </c>
      <c r="H50" s="252">
        <v>0</v>
      </c>
      <c r="I50" s="212">
        <f t="shared" si="12"/>
        <v>0</v>
      </c>
      <c r="J50" s="251">
        <v>0</v>
      </c>
      <c r="K50" s="96">
        <v>0</v>
      </c>
      <c r="L50" s="96">
        <v>0</v>
      </c>
      <c r="M50" s="254">
        <v>0</v>
      </c>
      <c r="N50" s="212">
        <f t="shared" si="18"/>
        <v>0</v>
      </c>
      <c r="O50" s="255">
        <v>0</v>
      </c>
      <c r="P50" s="252">
        <v>0</v>
      </c>
      <c r="Q50" s="250">
        <v>0</v>
      </c>
    </row>
    <row r="51" spans="2:17">
      <c r="B51" s="150" t="s">
        <v>327</v>
      </c>
      <c r="C51" s="249" t="s">
        <v>328</v>
      </c>
      <c r="D51" s="152">
        <f t="shared" si="20"/>
        <v>165.88799</v>
      </c>
      <c r="E51" s="153">
        <f t="shared" si="22"/>
        <v>52.490340000000003</v>
      </c>
      <c r="F51" s="262">
        <v>10.84014</v>
      </c>
      <c r="G51" s="263">
        <v>5.4143600000000003</v>
      </c>
      <c r="H51" s="264">
        <v>36.235840000000003</v>
      </c>
      <c r="I51" s="153">
        <f t="shared" si="12"/>
        <v>103.90443999999999</v>
      </c>
      <c r="J51" s="262">
        <v>55.394950000000001</v>
      </c>
      <c r="K51" s="263">
        <v>44.021680000000003</v>
      </c>
      <c r="L51" s="263">
        <v>4.4878099999999996</v>
      </c>
      <c r="M51" s="265">
        <v>0.33551999999999998</v>
      </c>
      <c r="N51" s="153">
        <f>SUM(O51:P51)</f>
        <v>8.9756499999999999</v>
      </c>
      <c r="O51" s="266">
        <v>8.9756499999999999</v>
      </c>
      <c r="P51" s="267">
        <v>0</v>
      </c>
      <c r="Q51" s="268">
        <v>0.18204000000000001</v>
      </c>
    </row>
    <row r="52" spans="2:17">
      <c r="B52" s="150" t="s">
        <v>329</v>
      </c>
      <c r="C52" s="249" t="s">
        <v>330</v>
      </c>
      <c r="D52" s="152">
        <f t="shared" si="20"/>
        <v>559.35120000000006</v>
      </c>
      <c r="E52" s="153">
        <f t="shared" si="22"/>
        <v>167.36644999999999</v>
      </c>
      <c r="F52" s="154">
        <f>SUM(F53:F56)</f>
        <v>33.157360000000004</v>
      </c>
      <c r="G52" s="155">
        <f>SUM(G53:G56)</f>
        <v>25.566030000000001</v>
      </c>
      <c r="H52" s="156">
        <f>SUM(H53:H56)</f>
        <v>108.64305999999999</v>
      </c>
      <c r="I52" s="153">
        <f t="shared" si="12"/>
        <v>274.55698000000001</v>
      </c>
      <c r="J52" s="154">
        <f t="shared" ref="J52:Q52" si="27">SUM(J53:J56)</f>
        <v>106.51036999999999</v>
      </c>
      <c r="K52" s="155">
        <f t="shared" si="27"/>
        <v>137.26016000000001</v>
      </c>
      <c r="L52" s="155">
        <f t="shared" si="27"/>
        <v>30.786449999999999</v>
      </c>
      <c r="M52" s="152">
        <f t="shared" si="27"/>
        <v>18.7744</v>
      </c>
      <c r="N52" s="153">
        <f>SUM(O52:P52)</f>
        <v>91.804730000000006</v>
      </c>
      <c r="O52" s="158">
        <f t="shared" si="27"/>
        <v>91.804730000000006</v>
      </c>
      <c r="P52" s="156">
        <f t="shared" si="27"/>
        <v>0</v>
      </c>
      <c r="Q52" s="153">
        <f t="shared" si="27"/>
        <v>6.8486400000000005</v>
      </c>
    </row>
    <row r="53" spans="2:17">
      <c r="B53" s="269" t="s">
        <v>331</v>
      </c>
      <c r="C53" s="270" t="s">
        <v>332</v>
      </c>
      <c r="D53" s="214">
        <f t="shared" si="20"/>
        <v>546.49137000000007</v>
      </c>
      <c r="E53" s="212">
        <f t="shared" si="22"/>
        <v>163.65773000000002</v>
      </c>
      <c r="F53" s="251">
        <v>32.197800000000001</v>
      </c>
      <c r="G53" s="96">
        <v>25.037400000000002</v>
      </c>
      <c r="H53" s="252">
        <v>106.42252999999999</v>
      </c>
      <c r="I53" s="212">
        <f t="shared" si="12"/>
        <v>268.00402000000003</v>
      </c>
      <c r="J53" s="251">
        <v>103.47738</v>
      </c>
      <c r="K53" s="96">
        <v>134.49517</v>
      </c>
      <c r="L53" s="96">
        <v>30.031469999999999</v>
      </c>
      <c r="M53" s="254">
        <v>18.470210000000002</v>
      </c>
      <c r="N53" s="212">
        <f>SUM(O53:P53)</f>
        <v>89.651970000000006</v>
      </c>
      <c r="O53" s="255">
        <v>89.651970000000006</v>
      </c>
      <c r="P53" s="252">
        <v>0</v>
      </c>
      <c r="Q53" s="250">
        <v>6.7074400000000001</v>
      </c>
    </row>
    <row r="54" spans="2:17">
      <c r="B54" s="269" t="s">
        <v>333</v>
      </c>
      <c r="C54" s="270" t="s">
        <v>334</v>
      </c>
      <c r="D54" s="214">
        <f t="shared" si="20"/>
        <v>9.0698299999999996</v>
      </c>
      <c r="E54" s="212">
        <f t="shared" si="22"/>
        <v>2.7518099999999999</v>
      </c>
      <c r="F54" s="251">
        <v>0.56460999999999995</v>
      </c>
      <c r="G54" s="96">
        <v>0.43863000000000002</v>
      </c>
      <c r="H54" s="252">
        <v>1.74857</v>
      </c>
      <c r="I54" s="212">
        <f t="shared" si="12"/>
        <v>4.3234300000000001</v>
      </c>
      <c r="J54" s="251">
        <v>1.65781</v>
      </c>
      <c r="K54" s="96">
        <v>2.1946099999999999</v>
      </c>
      <c r="L54" s="96">
        <v>0.47100999999999998</v>
      </c>
      <c r="M54" s="254">
        <v>0.30419000000000002</v>
      </c>
      <c r="N54" s="212">
        <f t="shared" ref="N54:N56" si="28">SUM(O54:P54)</f>
        <v>1.5842000000000001</v>
      </c>
      <c r="O54" s="255">
        <v>1.5842000000000001</v>
      </c>
      <c r="P54" s="252">
        <v>0</v>
      </c>
      <c r="Q54" s="250">
        <v>0.1062</v>
      </c>
    </row>
    <row r="55" spans="2:17">
      <c r="B55" s="269" t="s">
        <v>335</v>
      </c>
      <c r="C55" s="270" t="s">
        <v>336</v>
      </c>
      <c r="D55" s="214">
        <f t="shared" si="20"/>
        <v>2.46</v>
      </c>
      <c r="E55" s="212">
        <f t="shared" si="22"/>
        <v>0.44691000000000003</v>
      </c>
      <c r="F55" s="251">
        <v>0.18495</v>
      </c>
      <c r="G55" s="96">
        <v>0</v>
      </c>
      <c r="H55" s="252">
        <v>0.26196000000000003</v>
      </c>
      <c r="I55" s="212">
        <f t="shared" si="12"/>
        <v>1.4745299999999999</v>
      </c>
      <c r="J55" s="251">
        <v>0.84018000000000004</v>
      </c>
      <c r="K55" s="96">
        <v>0.48037999999999997</v>
      </c>
      <c r="L55" s="96">
        <v>0.15397</v>
      </c>
      <c r="M55" s="254">
        <v>0</v>
      </c>
      <c r="N55" s="212">
        <f t="shared" si="28"/>
        <v>0.53856000000000004</v>
      </c>
      <c r="O55" s="255">
        <v>0.53856000000000004</v>
      </c>
      <c r="P55" s="252">
        <v>0</v>
      </c>
      <c r="Q55" s="250">
        <v>0</v>
      </c>
    </row>
    <row r="56" spans="2:17">
      <c r="B56" s="269" t="s">
        <v>337</v>
      </c>
      <c r="C56" s="260" t="s">
        <v>338</v>
      </c>
      <c r="D56" s="214">
        <f t="shared" si="20"/>
        <v>1.33</v>
      </c>
      <c r="E56" s="212">
        <f t="shared" si="22"/>
        <v>0.51</v>
      </c>
      <c r="F56" s="251">
        <v>0.21</v>
      </c>
      <c r="G56" s="96">
        <v>0.09</v>
      </c>
      <c r="H56" s="252">
        <v>0.21</v>
      </c>
      <c r="I56" s="212">
        <f t="shared" si="12"/>
        <v>0.755</v>
      </c>
      <c r="J56" s="251">
        <v>0.53500000000000003</v>
      </c>
      <c r="K56" s="96">
        <v>0.09</v>
      </c>
      <c r="L56" s="96">
        <v>0.13</v>
      </c>
      <c r="M56" s="254">
        <v>0</v>
      </c>
      <c r="N56" s="212">
        <f t="shared" si="28"/>
        <v>0.03</v>
      </c>
      <c r="O56" s="255">
        <v>0.03</v>
      </c>
      <c r="P56" s="252">
        <v>0</v>
      </c>
      <c r="Q56" s="250">
        <v>3.5000000000000003E-2</v>
      </c>
    </row>
    <row r="57" spans="2:17">
      <c r="B57" s="150" t="s">
        <v>339</v>
      </c>
      <c r="C57" s="249" t="s">
        <v>340</v>
      </c>
      <c r="D57" s="152">
        <f t="shared" si="20"/>
        <v>113.81366999999999</v>
      </c>
      <c r="E57" s="153">
        <f t="shared" si="22"/>
        <v>90.664899999999989</v>
      </c>
      <c r="F57" s="154">
        <f>SUM(F58:F62)</f>
        <v>85.898799999999994</v>
      </c>
      <c r="G57" s="155">
        <f>SUM(G58:G62)</f>
        <v>0.502</v>
      </c>
      <c r="H57" s="156">
        <f>SUM(H58:H62)</f>
        <v>4.2641</v>
      </c>
      <c r="I57" s="153">
        <f t="shared" ref="I57:I120" si="29">SUM(J57:L57)</f>
        <v>23.005659999999999</v>
      </c>
      <c r="J57" s="154">
        <f t="shared" ref="J57:Q57" si="30">SUM(J58:J62)</f>
        <v>0.92793000000000003</v>
      </c>
      <c r="K57" s="155">
        <f t="shared" si="30"/>
        <v>21.534520000000001</v>
      </c>
      <c r="L57" s="155">
        <f t="shared" si="30"/>
        <v>0.54320999999999997</v>
      </c>
      <c r="M57" s="152">
        <f t="shared" si="30"/>
        <v>0.14310999999999999</v>
      </c>
      <c r="N57" s="153">
        <f>SUM(O57:P57)</f>
        <v>0</v>
      </c>
      <c r="O57" s="158">
        <f t="shared" si="30"/>
        <v>0</v>
      </c>
      <c r="P57" s="156">
        <f t="shared" si="30"/>
        <v>0</v>
      </c>
      <c r="Q57" s="153">
        <f t="shared" si="30"/>
        <v>0</v>
      </c>
    </row>
    <row r="58" spans="2:17">
      <c r="B58" s="269" t="s">
        <v>341</v>
      </c>
      <c r="C58" s="270" t="s">
        <v>342</v>
      </c>
      <c r="D58" s="171">
        <f t="shared" si="20"/>
        <v>81.384900000000002</v>
      </c>
      <c r="E58" s="212">
        <f t="shared" si="22"/>
        <v>81.384900000000002</v>
      </c>
      <c r="F58" s="258">
        <v>81.384900000000002</v>
      </c>
      <c r="G58" s="256">
        <v>0</v>
      </c>
      <c r="H58" s="257">
        <v>0</v>
      </c>
      <c r="I58" s="212">
        <f t="shared" si="29"/>
        <v>0</v>
      </c>
      <c r="J58" s="258">
        <v>0</v>
      </c>
      <c r="K58" s="256">
        <v>0</v>
      </c>
      <c r="L58" s="256">
        <v>0</v>
      </c>
      <c r="M58" s="259">
        <v>0</v>
      </c>
      <c r="N58" s="212">
        <f>SUM(O58:P58)</f>
        <v>0</v>
      </c>
      <c r="O58" s="255">
        <v>0</v>
      </c>
      <c r="P58" s="252">
        <v>0</v>
      </c>
      <c r="Q58" s="271">
        <v>0</v>
      </c>
    </row>
    <row r="59" spans="2:17">
      <c r="B59" s="269" t="s">
        <v>343</v>
      </c>
      <c r="C59" s="270" t="s">
        <v>344</v>
      </c>
      <c r="D59" s="171">
        <f t="shared" si="20"/>
        <v>20.506999999999998</v>
      </c>
      <c r="E59" s="212">
        <f t="shared" si="22"/>
        <v>0</v>
      </c>
      <c r="F59" s="258">
        <v>0</v>
      </c>
      <c r="G59" s="256">
        <v>0</v>
      </c>
      <c r="H59" s="257">
        <v>0</v>
      </c>
      <c r="I59" s="212">
        <f t="shared" si="29"/>
        <v>20.382999999999999</v>
      </c>
      <c r="J59" s="258">
        <v>0</v>
      </c>
      <c r="K59" s="256">
        <v>20.382999999999999</v>
      </c>
      <c r="L59" s="256">
        <v>0</v>
      </c>
      <c r="M59" s="259">
        <v>0.124</v>
      </c>
      <c r="N59" s="212">
        <f t="shared" ref="N59:N62" si="31">SUM(O59:P59)</f>
        <v>0</v>
      </c>
      <c r="O59" s="255">
        <v>0</v>
      </c>
      <c r="P59" s="252">
        <v>0</v>
      </c>
      <c r="Q59" s="271">
        <v>0</v>
      </c>
    </row>
    <row r="60" spans="2:17">
      <c r="B60" s="269" t="s">
        <v>345</v>
      </c>
      <c r="C60" s="270" t="s">
        <v>346</v>
      </c>
      <c r="D60" s="171">
        <f t="shared" si="20"/>
        <v>4.8390000000000004</v>
      </c>
      <c r="E60" s="212">
        <f t="shared" si="22"/>
        <v>4.8090000000000002</v>
      </c>
      <c r="F60" s="258">
        <v>1.7190000000000001</v>
      </c>
      <c r="G60" s="256">
        <v>0.502</v>
      </c>
      <c r="H60" s="257">
        <v>2.5880000000000001</v>
      </c>
      <c r="I60" s="212">
        <f t="shared" si="29"/>
        <v>0.03</v>
      </c>
      <c r="J60" s="258">
        <v>0.03</v>
      </c>
      <c r="K60" s="256">
        <v>0</v>
      </c>
      <c r="L60" s="256">
        <v>0</v>
      </c>
      <c r="M60" s="259">
        <v>0</v>
      </c>
      <c r="N60" s="212">
        <f t="shared" si="31"/>
        <v>0</v>
      </c>
      <c r="O60" s="255">
        <v>0</v>
      </c>
      <c r="P60" s="252">
        <v>0</v>
      </c>
      <c r="Q60" s="271">
        <v>0</v>
      </c>
    </row>
    <row r="61" spans="2:17">
      <c r="B61" s="269" t="s">
        <v>347</v>
      </c>
      <c r="C61" s="270" t="s">
        <v>348</v>
      </c>
      <c r="D61" s="171">
        <f t="shared" si="20"/>
        <v>0</v>
      </c>
      <c r="E61" s="212">
        <f t="shared" si="22"/>
        <v>0</v>
      </c>
      <c r="F61" s="258">
        <v>0</v>
      </c>
      <c r="G61" s="256">
        <v>0</v>
      </c>
      <c r="H61" s="257">
        <v>0</v>
      </c>
      <c r="I61" s="212">
        <f t="shared" si="29"/>
        <v>0</v>
      </c>
      <c r="J61" s="258">
        <v>0</v>
      </c>
      <c r="K61" s="256">
        <v>0</v>
      </c>
      <c r="L61" s="256">
        <v>0</v>
      </c>
      <c r="M61" s="259">
        <v>0</v>
      </c>
      <c r="N61" s="212">
        <f t="shared" si="31"/>
        <v>0</v>
      </c>
      <c r="O61" s="255">
        <v>0</v>
      </c>
      <c r="P61" s="252">
        <v>0</v>
      </c>
      <c r="Q61" s="271">
        <v>0</v>
      </c>
    </row>
    <row r="62" spans="2:17">
      <c r="B62" s="272" t="s">
        <v>349</v>
      </c>
      <c r="C62" s="260" t="s">
        <v>350</v>
      </c>
      <c r="D62" s="180">
        <f t="shared" si="20"/>
        <v>7.0827700000000009</v>
      </c>
      <c r="E62" s="222">
        <f t="shared" si="22"/>
        <v>4.4710000000000001</v>
      </c>
      <c r="F62" s="273">
        <v>2.7949000000000002</v>
      </c>
      <c r="G62" s="274">
        <v>0</v>
      </c>
      <c r="H62" s="275">
        <v>1.6760999999999999</v>
      </c>
      <c r="I62" s="222">
        <f t="shared" si="29"/>
        <v>2.5926600000000004</v>
      </c>
      <c r="J62" s="273">
        <v>0.89793000000000001</v>
      </c>
      <c r="K62" s="274">
        <v>1.1515200000000001</v>
      </c>
      <c r="L62" s="274">
        <v>0.54320999999999997</v>
      </c>
      <c r="M62" s="276">
        <v>1.9109999999999999E-2</v>
      </c>
      <c r="N62" s="212">
        <f t="shared" si="31"/>
        <v>0</v>
      </c>
      <c r="O62" s="277">
        <v>0</v>
      </c>
      <c r="P62" s="278">
        <v>0</v>
      </c>
      <c r="Q62" s="279">
        <v>0</v>
      </c>
    </row>
    <row r="63" spans="2:17">
      <c r="B63" s="150" t="s">
        <v>351</v>
      </c>
      <c r="C63" s="249" t="s">
        <v>352</v>
      </c>
      <c r="D63" s="152">
        <f t="shared" si="20"/>
        <v>0</v>
      </c>
      <c r="E63" s="153">
        <f t="shared" si="22"/>
        <v>0</v>
      </c>
      <c r="F63" s="154">
        <f>F64+F65</f>
        <v>0</v>
      </c>
      <c r="G63" s="155">
        <f>G64+G65</f>
        <v>0</v>
      </c>
      <c r="H63" s="156">
        <f>H64+H65</f>
        <v>0</v>
      </c>
      <c r="I63" s="153">
        <f t="shared" si="29"/>
        <v>0</v>
      </c>
      <c r="J63" s="154">
        <f t="shared" ref="J63:Q63" si="32">J64+J65</f>
        <v>0</v>
      </c>
      <c r="K63" s="155">
        <f t="shared" si="32"/>
        <v>0</v>
      </c>
      <c r="L63" s="155">
        <f t="shared" si="32"/>
        <v>0</v>
      </c>
      <c r="M63" s="152">
        <f t="shared" si="32"/>
        <v>0</v>
      </c>
      <c r="N63" s="153">
        <f>SUM(O63:P63)</f>
        <v>0</v>
      </c>
      <c r="O63" s="158">
        <f t="shared" si="32"/>
        <v>0</v>
      </c>
      <c r="P63" s="156">
        <f t="shared" si="32"/>
        <v>0</v>
      </c>
      <c r="Q63" s="153">
        <f t="shared" si="32"/>
        <v>0</v>
      </c>
    </row>
    <row r="64" spans="2:17">
      <c r="B64" s="269" t="s">
        <v>353</v>
      </c>
      <c r="C64" s="270" t="s">
        <v>354</v>
      </c>
      <c r="D64" s="171">
        <f t="shared" si="20"/>
        <v>0</v>
      </c>
      <c r="E64" s="172">
        <f t="shared" si="22"/>
        <v>0</v>
      </c>
      <c r="F64" s="280">
        <v>0</v>
      </c>
      <c r="G64" s="281">
        <v>0</v>
      </c>
      <c r="H64" s="282">
        <v>0</v>
      </c>
      <c r="I64" s="172">
        <f t="shared" si="29"/>
        <v>0</v>
      </c>
      <c r="J64" s="280">
        <v>0</v>
      </c>
      <c r="K64" s="281">
        <v>0</v>
      </c>
      <c r="L64" s="281">
        <v>0</v>
      </c>
      <c r="M64" s="283">
        <v>0</v>
      </c>
      <c r="N64" s="172">
        <f>SUM(O64:P64)</f>
        <v>0</v>
      </c>
      <c r="O64" s="284">
        <v>0</v>
      </c>
      <c r="P64" s="282">
        <v>0</v>
      </c>
      <c r="Q64" s="285">
        <v>0</v>
      </c>
    </row>
    <row r="65" spans="2:17">
      <c r="B65" s="272" t="s">
        <v>355</v>
      </c>
      <c r="C65" s="260" t="s">
        <v>356</v>
      </c>
      <c r="D65" s="180">
        <f t="shared" si="20"/>
        <v>0</v>
      </c>
      <c r="E65" s="181">
        <f t="shared" si="22"/>
        <v>0</v>
      </c>
      <c r="F65" s="286">
        <v>0</v>
      </c>
      <c r="G65" s="287">
        <v>0</v>
      </c>
      <c r="H65" s="288">
        <v>0</v>
      </c>
      <c r="I65" s="181">
        <f t="shared" si="29"/>
        <v>0</v>
      </c>
      <c r="J65" s="286">
        <v>0</v>
      </c>
      <c r="K65" s="287">
        <v>0</v>
      </c>
      <c r="L65" s="287">
        <v>0</v>
      </c>
      <c r="M65" s="289">
        <v>0</v>
      </c>
      <c r="N65" s="172">
        <f>SUM(O65:P65)</f>
        <v>0</v>
      </c>
      <c r="O65" s="290">
        <v>0</v>
      </c>
      <c r="P65" s="288">
        <v>0</v>
      </c>
      <c r="Q65" s="291">
        <v>0</v>
      </c>
    </row>
    <row r="66" spans="2:17">
      <c r="B66" s="150" t="s">
        <v>357</v>
      </c>
      <c r="C66" s="249" t="s">
        <v>358</v>
      </c>
      <c r="D66" s="152">
        <f t="shared" si="20"/>
        <v>0.28000000000000003</v>
      </c>
      <c r="E66" s="153">
        <f t="shared" si="22"/>
        <v>0</v>
      </c>
      <c r="F66" s="154">
        <f>SUM(F67:F80)</f>
        <v>0</v>
      </c>
      <c r="G66" s="155">
        <f>SUM(G67:G80)</f>
        <v>0</v>
      </c>
      <c r="H66" s="156">
        <f>SUM(H67:H80)</f>
        <v>0</v>
      </c>
      <c r="I66" s="153">
        <f t="shared" si="29"/>
        <v>0.28000000000000003</v>
      </c>
      <c r="J66" s="154">
        <f t="shared" ref="J66:Q66" si="33">SUM(J67:J80)</f>
        <v>0</v>
      </c>
      <c r="K66" s="155">
        <f t="shared" si="33"/>
        <v>0.28000000000000003</v>
      </c>
      <c r="L66" s="155">
        <f t="shared" si="33"/>
        <v>0</v>
      </c>
      <c r="M66" s="152">
        <f t="shared" si="33"/>
        <v>0</v>
      </c>
      <c r="N66" s="153">
        <f>SUM(O66:P66)</f>
        <v>0</v>
      </c>
      <c r="O66" s="158">
        <f t="shared" si="33"/>
        <v>0</v>
      </c>
      <c r="P66" s="156">
        <f t="shared" si="33"/>
        <v>0</v>
      </c>
      <c r="Q66" s="153">
        <f t="shared" si="33"/>
        <v>0</v>
      </c>
    </row>
    <row r="67" spans="2:17">
      <c r="B67" s="269" t="s">
        <v>359</v>
      </c>
      <c r="C67" s="270" t="s">
        <v>360</v>
      </c>
      <c r="D67" s="171">
        <f t="shared" si="20"/>
        <v>0</v>
      </c>
      <c r="E67" s="172">
        <f t="shared" si="22"/>
        <v>0</v>
      </c>
      <c r="F67" s="280">
        <v>0</v>
      </c>
      <c r="G67" s="281">
        <v>0</v>
      </c>
      <c r="H67" s="282">
        <v>0</v>
      </c>
      <c r="I67" s="172">
        <f t="shared" si="29"/>
        <v>0</v>
      </c>
      <c r="J67" s="280">
        <v>0</v>
      </c>
      <c r="K67" s="281">
        <v>0</v>
      </c>
      <c r="L67" s="281">
        <v>0</v>
      </c>
      <c r="M67" s="283">
        <v>0</v>
      </c>
      <c r="N67" s="172">
        <f>SUM(O67:P67)</f>
        <v>0</v>
      </c>
      <c r="O67" s="292">
        <v>0</v>
      </c>
      <c r="P67" s="293">
        <v>0</v>
      </c>
      <c r="Q67" s="285">
        <v>0</v>
      </c>
    </row>
    <row r="68" spans="2:17">
      <c r="B68" s="269" t="s">
        <v>361</v>
      </c>
      <c r="C68" s="270" t="s">
        <v>362</v>
      </c>
      <c r="D68" s="171">
        <f t="shared" si="20"/>
        <v>0</v>
      </c>
      <c r="E68" s="172">
        <f t="shared" si="22"/>
        <v>0</v>
      </c>
      <c r="F68" s="280">
        <v>0</v>
      </c>
      <c r="G68" s="281">
        <v>0</v>
      </c>
      <c r="H68" s="282">
        <v>0</v>
      </c>
      <c r="I68" s="172">
        <f t="shared" si="29"/>
        <v>0</v>
      </c>
      <c r="J68" s="280">
        <v>0</v>
      </c>
      <c r="K68" s="281">
        <v>0</v>
      </c>
      <c r="L68" s="281">
        <v>0</v>
      </c>
      <c r="M68" s="283">
        <v>0</v>
      </c>
      <c r="N68" s="172">
        <f t="shared" ref="N68:N80" si="34">SUM(O68:P68)</f>
        <v>0</v>
      </c>
      <c r="O68" s="292">
        <v>0</v>
      </c>
      <c r="P68" s="293">
        <v>0</v>
      </c>
      <c r="Q68" s="285">
        <v>0</v>
      </c>
    </row>
    <row r="69" spans="2:17">
      <c r="B69" s="269" t="s">
        <v>363</v>
      </c>
      <c r="C69" s="270" t="s">
        <v>364</v>
      </c>
      <c r="D69" s="171">
        <f t="shared" si="20"/>
        <v>0</v>
      </c>
      <c r="E69" s="172">
        <f t="shared" si="22"/>
        <v>0</v>
      </c>
      <c r="F69" s="280">
        <v>0</v>
      </c>
      <c r="G69" s="281">
        <v>0</v>
      </c>
      <c r="H69" s="282">
        <v>0</v>
      </c>
      <c r="I69" s="172">
        <f t="shared" si="29"/>
        <v>0</v>
      </c>
      <c r="J69" s="280">
        <v>0</v>
      </c>
      <c r="K69" s="281">
        <v>0</v>
      </c>
      <c r="L69" s="281">
        <v>0</v>
      </c>
      <c r="M69" s="283">
        <v>0</v>
      </c>
      <c r="N69" s="172">
        <f t="shared" si="34"/>
        <v>0</v>
      </c>
      <c r="O69" s="292">
        <v>0</v>
      </c>
      <c r="P69" s="293">
        <v>0</v>
      </c>
      <c r="Q69" s="285">
        <v>0</v>
      </c>
    </row>
    <row r="70" spans="2:17">
      <c r="B70" s="269" t="s">
        <v>365</v>
      </c>
      <c r="C70" s="270" t="s">
        <v>366</v>
      </c>
      <c r="D70" s="171">
        <f t="shared" si="20"/>
        <v>0</v>
      </c>
      <c r="E70" s="172">
        <f t="shared" si="22"/>
        <v>0</v>
      </c>
      <c r="F70" s="280">
        <v>0</v>
      </c>
      <c r="G70" s="281">
        <v>0</v>
      </c>
      <c r="H70" s="282">
        <v>0</v>
      </c>
      <c r="I70" s="172">
        <f t="shared" si="29"/>
        <v>0</v>
      </c>
      <c r="J70" s="280">
        <v>0</v>
      </c>
      <c r="K70" s="281">
        <v>0</v>
      </c>
      <c r="L70" s="281">
        <v>0</v>
      </c>
      <c r="M70" s="283">
        <v>0</v>
      </c>
      <c r="N70" s="172">
        <f t="shared" si="34"/>
        <v>0</v>
      </c>
      <c r="O70" s="292">
        <v>0</v>
      </c>
      <c r="P70" s="293">
        <v>0</v>
      </c>
      <c r="Q70" s="285">
        <v>0</v>
      </c>
    </row>
    <row r="71" spans="2:17">
      <c r="B71" s="269" t="s">
        <v>367</v>
      </c>
      <c r="C71" s="270" t="s">
        <v>368</v>
      </c>
      <c r="D71" s="171">
        <f t="shared" si="20"/>
        <v>0</v>
      </c>
      <c r="E71" s="172">
        <f t="shared" si="22"/>
        <v>0</v>
      </c>
      <c r="F71" s="280">
        <v>0</v>
      </c>
      <c r="G71" s="281">
        <v>0</v>
      </c>
      <c r="H71" s="282">
        <v>0</v>
      </c>
      <c r="I71" s="172">
        <f t="shared" si="29"/>
        <v>0</v>
      </c>
      <c r="J71" s="280">
        <v>0</v>
      </c>
      <c r="K71" s="281">
        <v>0</v>
      </c>
      <c r="L71" s="281">
        <v>0</v>
      </c>
      <c r="M71" s="283">
        <v>0</v>
      </c>
      <c r="N71" s="172">
        <f t="shared" si="34"/>
        <v>0</v>
      </c>
      <c r="O71" s="292">
        <v>0</v>
      </c>
      <c r="P71" s="293">
        <v>0</v>
      </c>
      <c r="Q71" s="285">
        <v>0</v>
      </c>
    </row>
    <row r="72" spans="2:17">
      <c r="B72" s="269" t="s">
        <v>369</v>
      </c>
      <c r="C72" s="270" t="s">
        <v>370</v>
      </c>
      <c r="D72" s="171">
        <f t="shared" si="20"/>
        <v>0</v>
      </c>
      <c r="E72" s="172">
        <f t="shared" si="22"/>
        <v>0</v>
      </c>
      <c r="F72" s="280">
        <v>0</v>
      </c>
      <c r="G72" s="281">
        <v>0</v>
      </c>
      <c r="H72" s="282">
        <v>0</v>
      </c>
      <c r="I72" s="172">
        <f t="shared" si="29"/>
        <v>0</v>
      </c>
      <c r="J72" s="280">
        <v>0</v>
      </c>
      <c r="K72" s="281">
        <v>0</v>
      </c>
      <c r="L72" s="281">
        <v>0</v>
      </c>
      <c r="M72" s="283">
        <v>0</v>
      </c>
      <c r="N72" s="172">
        <f t="shared" si="34"/>
        <v>0</v>
      </c>
      <c r="O72" s="292">
        <v>0</v>
      </c>
      <c r="P72" s="293">
        <v>0</v>
      </c>
      <c r="Q72" s="285">
        <v>0</v>
      </c>
    </row>
    <row r="73" spans="2:17">
      <c r="B73" s="269" t="s">
        <v>371</v>
      </c>
      <c r="C73" s="270" t="s">
        <v>372</v>
      </c>
      <c r="D73" s="171">
        <f t="shared" si="20"/>
        <v>0</v>
      </c>
      <c r="E73" s="172">
        <f t="shared" si="22"/>
        <v>0</v>
      </c>
      <c r="F73" s="280">
        <v>0</v>
      </c>
      <c r="G73" s="281">
        <v>0</v>
      </c>
      <c r="H73" s="282">
        <v>0</v>
      </c>
      <c r="I73" s="172">
        <f t="shared" si="29"/>
        <v>0</v>
      </c>
      <c r="J73" s="280">
        <v>0</v>
      </c>
      <c r="K73" s="281">
        <v>0</v>
      </c>
      <c r="L73" s="281">
        <v>0</v>
      </c>
      <c r="M73" s="283">
        <v>0</v>
      </c>
      <c r="N73" s="172">
        <f t="shared" si="34"/>
        <v>0</v>
      </c>
      <c r="O73" s="292">
        <v>0</v>
      </c>
      <c r="P73" s="293">
        <v>0</v>
      </c>
      <c r="Q73" s="285">
        <v>0</v>
      </c>
    </row>
    <row r="74" spans="2:17">
      <c r="B74" s="269" t="s">
        <v>373</v>
      </c>
      <c r="C74" s="270" t="s">
        <v>374</v>
      </c>
      <c r="D74" s="171">
        <f t="shared" si="20"/>
        <v>0</v>
      </c>
      <c r="E74" s="172">
        <f t="shared" si="22"/>
        <v>0</v>
      </c>
      <c r="F74" s="280">
        <v>0</v>
      </c>
      <c r="G74" s="281">
        <v>0</v>
      </c>
      <c r="H74" s="282">
        <v>0</v>
      </c>
      <c r="I74" s="172">
        <f t="shared" si="29"/>
        <v>0</v>
      </c>
      <c r="J74" s="280">
        <v>0</v>
      </c>
      <c r="K74" s="281">
        <v>0</v>
      </c>
      <c r="L74" s="281">
        <v>0</v>
      </c>
      <c r="M74" s="283">
        <v>0</v>
      </c>
      <c r="N74" s="172">
        <f t="shared" si="34"/>
        <v>0</v>
      </c>
      <c r="O74" s="292">
        <v>0</v>
      </c>
      <c r="P74" s="293">
        <v>0</v>
      </c>
      <c r="Q74" s="285">
        <v>0</v>
      </c>
    </row>
    <row r="75" spans="2:17">
      <c r="B75" s="269" t="s">
        <v>375</v>
      </c>
      <c r="C75" s="270" t="s">
        <v>376</v>
      </c>
      <c r="D75" s="171">
        <f t="shared" si="20"/>
        <v>0</v>
      </c>
      <c r="E75" s="172">
        <f t="shared" si="22"/>
        <v>0</v>
      </c>
      <c r="F75" s="280">
        <v>0</v>
      </c>
      <c r="G75" s="281">
        <v>0</v>
      </c>
      <c r="H75" s="282">
        <v>0</v>
      </c>
      <c r="I75" s="172">
        <f t="shared" si="29"/>
        <v>0</v>
      </c>
      <c r="J75" s="280">
        <v>0</v>
      </c>
      <c r="K75" s="281">
        <v>0</v>
      </c>
      <c r="L75" s="281">
        <v>0</v>
      </c>
      <c r="M75" s="283">
        <v>0</v>
      </c>
      <c r="N75" s="172">
        <f t="shared" si="34"/>
        <v>0</v>
      </c>
      <c r="O75" s="292">
        <v>0</v>
      </c>
      <c r="P75" s="293">
        <v>0</v>
      </c>
      <c r="Q75" s="285">
        <v>0</v>
      </c>
    </row>
    <row r="76" spans="2:17">
      <c r="B76" s="269" t="s">
        <v>377</v>
      </c>
      <c r="C76" s="270" t="s">
        <v>378</v>
      </c>
      <c r="D76" s="171">
        <f t="shared" si="20"/>
        <v>0</v>
      </c>
      <c r="E76" s="172">
        <f t="shared" si="22"/>
        <v>0</v>
      </c>
      <c r="F76" s="280">
        <v>0</v>
      </c>
      <c r="G76" s="281">
        <v>0</v>
      </c>
      <c r="H76" s="282">
        <v>0</v>
      </c>
      <c r="I76" s="172">
        <f t="shared" si="29"/>
        <v>0</v>
      </c>
      <c r="J76" s="280">
        <v>0</v>
      </c>
      <c r="K76" s="281">
        <v>0</v>
      </c>
      <c r="L76" s="281">
        <v>0</v>
      </c>
      <c r="M76" s="283">
        <v>0</v>
      </c>
      <c r="N76" s="172">
        <f t="shared" si="34"/>
        <v>0</v>
      </c>
      <c r="O76" s="292">
        <v>0</v>
      </c>
      <c r="P76" s="293">
        <v>0</v>
      </c>
      <c r="Q76" s="285">
        <v>0</v>
      </c>
    </row>
    <row r="77" spans="2:17">
      <c r="B77" s="269" t="s">
        <v>379</v>
      </c>
      <c r="C77" s="270" t="s">
        <v>380</v>
      </c>
      <c r="D77" s="171">
        <f t="shared" si="20"/>
        <v>0</v>
      </c>
      <c r="E77" s="172">
        <f t="shared" si="22"/>
        <v>0</v>
      </c>
      <c r="F77" s="280">
        <v>0</v>
      </c>
      <c r="G77" s="281">
        <v>0</v>
      </c>
      <c r="H77" s="282">
        <v>0</v>
      </c>
      <c r="I77" s="172">
        <f t="shared" si="29"/>
        <v>0</v>
      </c>
      <c r="J77" s="280">
        <v>0</v>
      </c>
      <c r="K77" s="281">
        <v>0</v>
      </c>
      <c r="L77" s="281">
        <v>0</v>
      </c>
      <c r="M77" s="283">
        <v>0</v>
      </c>
      <c r="N77" s="172">
        <f t="shared" si="34"/>
        <v>0</v>
      </c>
      <c r="O77" s="292">
        <v>0</v>
      </c>
      <c r="P77" s="293">
        <v>0</v>
      </c>
      <c r="Q77" s="285">
        <v>0</v>
      </c>
    </row>
    <row r="78" spans="2:17">
      <c r="B78" s="269" t="s">
        <v>381</v>
      </c>
      <c r="C78" s="270" t="s">
        <v>382</v>
      </c>
      <c r="D78" s="171">
        <f t="shared" si="20"/>
        <v>0</v>
      </c>
      <c r="E78" s="172">
        <f t="shared" si="22"/>
        <v>0</v>
      </c>
      <c r="F78" s="280">
        <v>0</v>
      </c>
      <c r="G78" s="281">
        <v>0</v>
      </c>
      <c r="H78" s="282">
        <v>0</v>
      </c>
      <c r="I78" s="172">
        <f t="shared" si="29"/>
        <v>0</v>
      </c>
      <c r="J78" s="280">
        <v>0</v>
      </c>
      <c r="K78" s="281">
        <v>0</v>
      </c>
      <c r="L78" s="281">
        <v>0</v>
      </c>
      <c r="M78" s="283">
        <v>0</v>
      </c>
      <c r="N78" s="172">
        <f t="shared" si="34"/>
        <v>0</v>
      </c>
      <c r="O78" s="292">
        <v>0</v>
      </c>
      <c r="P78" s="293">
        <v>0</v>
      </c>
      <c r="Q78" s="285">
        <v>0</v>
      </c>
    </row>
    <row r="79" spans="2:17">
      <c r="B79" s="269" t="s">
        <v>383</v>
      </c>
      <c r="C79" s="270" t="s">
        <v>384</v>
      </c>
      <c r="D79" s="171">
        <f t="shared" si="20"/>
        <v>0</v>
      </c>
      <c r="E79" s="172">
        <f t="shared" si="22"/>
        <v>0</v>
      </c>
      <c r="F79" s="280">
        <v>0</v>
      </c>
      <c r="G79" s="281">
        <v>0</v>
      </c>
      <c r="H79" s="282">
        <v>0</v>
      </c>
      <c r="I79" s="172">
        <f t="shared" si="29"/>
        <v>0</v>
      </c>
      <c r="J79" s="280">
        <v>0</v>
      </c>
      <c r="K79" s="281">
        <v>0</v>
      </c>
      <c r="L79" s="281">
        <v>0</v>
      </c>
      <c r="M79" s="283">
        <v>0</v>
      </c>
      <c r="N79" s="172">
        <f t="shared" si="34"/>
        <v>0</v>
      </c>
      <c r="O79" s="292">
        <v>0</v>
      </c>
      <c r="P79" s="293">
        <v>0</v>
      </c>
      <c r="Q79" s="285">
        <v>0</v>
      </c>
    </row>
    <row r="80" spans="2:17">
      <c r="B80" s="294" t="s">
        <v>385</v>
      </c>
      <c r="C80" s="295" t="s">
        <v>386</v>
      </c>
      <c r="D80" s="296">
        <f t="shared" si="20"/>
        <v>0.28000000000000003</v>
      </c>
      <c r="E80" s="297">
        <f t="shared" si="22"/>
        <v>0</v>
      </c>
      <c r="F80" s="298">
        <v>0</v>
      </c>
      <c r="G80" s="299">
        <v>0</v>
      </c>
      <c r="H80" s="300">
        <v>0</v>
      </c>
      <c r="I80" s="297">
        <f t="shared" si="29"/>
        <v>0.28000000000000003</v>
      </c>
      <c r="J80" s="298">
        <v>0</v>
      </c>
      <c r="K80" s="299">
        <v>0.28000000000000003</v>
      </c>
      <c r="L80" s="299">
        <v>0</v>
      </c>
      <c r="M80" s="301">
        <v>0</v>
      </c>
      <c r="N80" s="172">
        <f t="shared" si="34"/>
        <v>0</v>
      </c>
      <c r="O80" s="302">
        <v>0</v>
      </c>
      <c r="P80" s="303">
        <v>0</v>
      </c>
      <c r="Q80" s="304">
        <v>0</v>
      </c>
    </row>
    <row r="81" spans="1:20">
      <c r="B81" s="305" t="s">
        <v>387</v>
      </c>
      <c r="C81" s="306" t="s">
        <v>388</v>
      </c>
      <c r="D81" s="307">
        <f t="shared" si="20"/>
        <v>0</v>
      </c>
      <c r="E81" s="308">
        <f t="shared" si="22"/>
        <v>0</v>
      </c>
      <c r="F81" s="309">
        <v>0</v>
      </c>
      <c r="G81" s="310">
        <v>0</v>
      </c>
      <c r="H81" s="311">
        <v>0</v>
      </c>
      <c r="I81" s="308">
        <f t="shared" si="29"/>
        <v>0</v>
      </c>
      <c r="J81" s="309">
        <v>0</v>
      </c>
      <c r="K81" s="310">
        <v>0</v>
      </c>
      <c r="L81" s="310">
        <v>0</v>
      </c>
      <c r="M81" s="312">
        <v>0</v>
      </c>
      <c r="N81" s="308">
        <f>SUM(O81:P81)</f>
        <v>0</v>
      </c>
      <c r="O81" s="313">
        <v>0</v>
      </c>
      <c r="P81" s="314">
        <v>0</v>
      </c>
      <c r="Q81" s="315">
        <v>0</v>
      </c>
    </row>
    <row r="82" spans="1:20">
      <c r="A82" s="316"/>
      <c r="B82" s="150" t="s">
        <v>389</v>
      </c>
      <c r="C82" s="210" t="s">
        <v>390</v>
      </c>
      <c r="D82" s="152">
        <f t="shared" si="20"/>
        <v>26.095330000000001</v>
      </c>
      <c r="E82" s="153">
        <f t="shared" si="22"/>
        <v>20.62829</v>
      </c>
      <c r="F82" s="154">
        <f>SUM(F83:F89)</f>
        <v>1.54</v>
      </c>
      <c r="G82" s="155">
        <f>SUM(G83:G89)</f>
        <v>0</v>
      </c>
      <c r="H82" s="156">
        <f>SUM(H83:H89)</f>
        <v>19.088290000000001</v>
      </c>
      <c r="I82" s="153">
        <f t="shared" si="29"/>
        <v>4.9895100000000001</v>
      </c>
      <c r="J82" s="154">
        <f t="shared" ref="J82:Q82" si="35">SUM(J83:J89)</f>
        <v>0.39451999999999998</v>
      </c>
      <c r="K82" s="155">
        <f t="shared" si="35"/>
        <v>1.83196</v>
      </c>
      <c r="L82" s="155">
        <f t="shared" si="35"/>
        <v>2.7630300000000001</v>
      </c>
      <c r="M82" s="152">
        <f t="shared" si="35"/>
        <v>0.14063000000000001</v>
      </c>
      <c r="N82" s="153">
        <f>SUM(O82:P82)</f>
        <v>0.28689999999999999</v>
      </c>
      <c r="O82" s="158">
        <f t="shared" si="35"/>
        <v>0.28689999999999999</v>
      </c>
      <c r="P82" s="156">
        <f t="shared" si="35"/>
        <v>0</v>
      </c>
      <c r="Q82" s="153">
        <f t="shared" si="35"/>
        <v>0.05</v>
      </c>
    </row>
    <row r="83" spans="1:20">
      <c r="A83" s="316"/>
      <c r="B83" s="317" t="s">
        <v>391</v>
      </c>
      <c r="C83" s="318" t="s">
        <v>392</v>
      </c>
      <c r="D83" s="319">
        <f t="shared" si="20"/>
        <v>0</v>
      </c>
      <c r="E83" s="320">
        <f t="shared" si="22"/>
        <v>0</v>
      </c>
      <c r="F83" s="321">
        <v>0</v>
      </c>
      <c r="G83" s="322">
        <v>0</v>
      </c>
      <c r="H83" s="323">
        <v>0</v>
      </c>
      <c r="I83" s="320">
        <f t="shared" si="29"/>
        <v>0</v>
      </c>
      <c r="J83" s="321">
        <v>0</v>
      </c>
      <c r="K83" s="322">
        <v>0</v>
      </c>
      <c r="L83" s="322">
        <v>0</v>
      </c>
      <c r="M83" s="324">
        <v>0</v>
      </c>
      <c r="N83" s="320">
        <f>SUM(O83:P83)</f>
        <v>0</v>
      </c>
      <c r="O83" s="325">
        <v>0</v>
      </c>
      <c r="P83" s="326">
        <v>0</v>
      </c>
      <c r="Q83" s="327">
        <v>0</v>
      </c>
    </row>
    <row r="84" spans="1:20">
      <c r="A84" s="316"/>
      <c r="B84" s="317" t="s">
        <v>393</v>
      </c>
      <c r="C84" s="318" t="s">
        <v>394</v>
      </c>
      <c r="D84" s="319">
        <f t="shared" si="20"/>
        <v>0.72323000000000004</v>
      </c>
      <c r="E84" s="320">
        <f t="shared" si="22"/>
        <v>0</v>
      </c>
      <c r="F84" s="321">
        <v>0</v>
      </c>
      <c r="G84" s="322">
        <v>0</v>
      </c>
      <c r="H84" s="323">
        <v>0</v>
      </c>
      <c r="I84" s="320">
        <f t="shared" si="29"/>
        <v>0.35233000000000003</v>
      </c>
      <c r="J84" s="321">
        <v>0.26454</v>
      </c>
      <c r="K84" s="322">
        <v>0</v>
      </c>
      <c r="L84" s="322">
        <v>8.7790000000000007E-2</v>
      </c>
      <c r="M84" s="324">
        <v>3.4000000000000002E-2</v>
      </c>
      <c r="N84" s="320">
        <f t="shared" ref="N84:N89" si="36">SUM(O84:P84)</f>
        <v>0.28689999999999999</v>
      </c>
      <c r="O84" s="325">
        <v>0.28689999999999999</v>
      </c>
      <c r="P84" s="326">
        <v>0</v>
      </c>
      <c r="Q84" s="327">
        <v>0.05</v>
      </c>
    </row>
    <row r="85" spans="1:20">
      <c r="A85" s="316"/>
      <c r="B85" s="328" t="s">
        <v>395</v>
      </c>
      <c r="C85" s="329" t="s">
        <v>396</v>
      </c>
      <c r="D85" s="319">
        <f t="shared" si="20"/>
        <v>19.186459999999997</v>
      </c>
      <c r="E85" s="212">
        <f t="shared" si="22"/>
        <v>16.404589999999999</v>
      </c>
      <c r="F85" s="321">
        <v>0</v>
      </c>
      <c r="G85" s="322">
        <v>0</v>
      </c>
      <c r="H85" s="323">
        <v>16.404589999999999</v>
      </c>
      <c r="I85" s="212">
        <f t="shared" si="29"/>
        <v>2.6752400000000001</v>
      </c>
      <c r="J85" s="321">
        <v>0</v>
      </c>
      <c r="K85" s="322">
        <v>0</v>
      </c>
      <c r="L85" s="322">
        <v>2.6752400000000001</v>
      </c>
      <c r="M85" s="324">
        <v>0.10663</v>
      </c>
      <c r="N85" s="320">
        <f t="shared" si="36"/>
        <v>0</v>
      </c>
      <c r="O85" s="325">
        <v>0</v>
      </c>
      <c r="P85" s="326">
        <v>0</v>
      </c>
      <c r="Q85" s="327">
        <v>0</v>
      </c>
    </row>
    <row r="86" spans="1:20">
      <c r="A86" s="316"/>
      <c r="B86" s="330" t="s">
        <v>397</v>
      </c>
      <c r="C86" s="331" t="s">
        <v>398</v>
      </c>
      <c r="D86" s="319">
        <f t="shared" si="20"/>
        <v>0</v>
      </c>
      <c r="E86" s="222">
        <f t="shared" si="22"/>
        <v>0</v>
      </c>
      <c r="F86" s="321">
        <v>0</v>
      </c>
      <c r="G86" s="322">
        <v>0</v>
      </c>
      <c r="H86" s="323">
        <v>0</v>
      </c>
      <c r="I86" s="222">
        <f t="shared" si="29"/>
        <v>0</v>
      </c>
      <c r="J86" s="321">
        <v>0</v>
      </c>
      <c r="K86" s="322">
        <v>0</v>
      </c>
      <c r="L86" s="322">
        <v>0</v>
      </c>
      <c r="M86" s="324">
        <v>0</v>
      </c>
      <c r="N86" s="320">
        <f t="shared" si="36"/>
        <v>0</v>
      </c>
      <c r="O86" s="325">
        <v>0</v>
      </c>
      <c r="P86" s="326">
        <v>0</v>
      </c>
      <c r="Q86" s="327">
        <v>0</v>
      </c>
    </row>
    <row r="87" spans="1:20">
      <c r="A87" s="316"/>
      <c r="B87" s="330" t="s">
        <v>399</v>
      </c>
      <c r="C87" s="220" t="s">
        <v>400</v>
      </c>
      <c r="D87" s="319">
        <f t="shared" si="20"/>
        <v>6.1856400000000002</v>
      </c>
      <c r="E87" s="222">
        <f t="shared" si="22"/>
        <v>4.2237</v>
      </c>
      <c r="F87" s="321">
        <v>1.54</v>
      </c>
      <c r="G87" s="322">
        <v>0</v>
      </c>
      <c r="H87" s="323">
        <v>2.6837</v>
      </c>
      <c r="I87" s="222">
        <f t="shared" si="29"/>
        <v>1.96194</v>
      </c>
      <c r="J87" s="321">
        <v>0.12998000000000001</v>
      </c>
      <c r="K87" s="322">
        <v>1.83196</v>
      </c>
      <c r="L87" s="322">
        <v>0</v>
      </c>
      <c r="M87" s="324">
        <v>0</v>
      </c>
      <c r="N87" s="320">
        <f t="shared" si="36"/>
        <v>0</v>
      </c>
      <c r="O87" s="325">
        <v>0</v>
      </c>
      <c r="P87" s="326">
        <v>0</v>
      </c>
      <c r="Q87" s="327">
        <v>0</v>
      </c>
    </row>
    <row r="88" spans="1:20">
      <c r="A88" s="316"/>
      <c r="B88" s="330" t="s">
        <v>401</v>
      </c>
      <c r="C88" s="220" t="s">
        <v>402</v>
      </c>
      <c r="D88" s="319">
        <f t="shared" si="20"/>
        <v>0</v>
      </c>
      <c r="E88" s="222">
        <f t="shared" si="22"/>
        <v>0</v>
      </c>
      <c r="F88" s="321">
        <v>0</v>
      </c>
      <c r="G88" s="322">
        <v>0</v>
      </c>
      <c r="H88" s="323">
        <v>0</v>
      </c>
      <c r="I88" s="222">
        <f t="shared" si="29"/>
        <v>0</v>
      </c>
      <c r="J88" s="321">
        <v>0</v>
      </c>
      <c r="K88" s="322">
        <v>0</v>
      </c>
      <c r="L88" s="322">
        <v>0</v>
      </c>
      <c r="M88" s="324">
        <v>0</v>
      </c>
      <c r="N88" s="320">
        <f t="shared" si="36"/>
        <v>0</v>
      </c>
      <c r="O88" s="325">
        <v>0</v>
      </c>
      <c r="P88" s="326">
        <v>0</v>
      </c>
      <c r="Q88" s="327">
        <v>0</v>
      </c>
    </row>
    <row r="89" spans="1:20">
      <c r="A89" s="316"/>
      <c r="B89" s="330" t="s">
        <v>403</v>
      </c>
      <c r="C89" s="220" t="s">
        <v>404</v>
      </c>
      <c r="D89" s="319">
        <f t="shared" si="20"/>
        <v>0</v>
      </c>
      <c r="E89" s="222">
        <f t="shared" si="22"/>
        <v>0</v>
      </c>
      <c r="F89" s="332">
        <v>0</v>
      </c>
      <c r="G89" s="333">
        <v>0</v>
      </c>
      <c r="H89" s="278">
        <v>0</v>
      </c>
      <c r="I89" s="222">
        <f t="shared" si="29"/>
        <v>0</v>
      </c>
      <c r="J89" s="332">
        <v>0</v>
      </c>
      <c r="K89" s="333">
        <v>0</v>
      </c>
      <c r="L89" s="333">
        <v>0</v>
      </c>
      <c r="M89" s="334">
        <v>0</v>
      </c>
      <c r="N89" s="320">
        <f t="shared" si="36"/>
        <v>0</v>
      </c>
      <c r="O89" s="335">
        <v>0</v>
      </c>
      <c r="P89" s="275">
        <v>0</v>
      </c>
      <c r="Q89" s="336">
        <v>0</v>
      </c>
    </row>
    <row r="90" spans="1:20" ht="42" customHeight="1" thickTop="1" thickBot="1">
      <c r="A90" s="316"/>
      <c r="B90" s="133" t="s">
        <v>59</v>
      </c>
      <c r="C90" s="134" t="s">
        <v>405</v>
      </c>
      <c r="D90" s="337">
        <f>D91+D94+D97+D99+D105+D106+D111+D115+D118+D133+D134</f>
        <v>155.03907000000001</v>
      </c>
      <c r="E90" s="133">
        <f t="shared" si="22"/>
        <v>53.627254621556993</v>
      </c>
      <c r="F90" s="237">
        <f>F91+F94+F97+F99+F105+F106+F111+F115+F118+F133+F134</f>
        <v>3.6699918415980011</v>
      </c>
      <c r="G90" s="238">
        <f>G91+G94+G97+G99+G105+G106+G111+G115+G118+G133+G134</f>
        <v>3.4866581413229998</v>
      </c>
      <c r="H90" s="239">
        <f>H91+H94+H97+H99+H105+H106+H111+H115+H118+H133+H134</f>
        <v>46.47060463863599</v>
      </c>
      <c r="I90" s="133">
        <f t="shared" si="29"/>
        <v>101.10268297677003</v>
      </c>
      <c r="J90" s="237">
        <f t="shared" ref="J90:Q90" si="37">J91+J94+J97+J99+J105+J106+J111+J115+J118+J133+J134</f>
        <v>77.042820867564018</v>
      </c>
      <c r="K90" s="238">
        <f t="shared" si="37"/>
        <v>21.980943219576005</v>
      </c>
      <c r="L90" s="238">
        <f t="shared" si="37"/>
        <v>2.0789188896300002</v>
      </c>
      <c r="M90" s="236">
        <f t="shared" si="37"/>
        <v>1.3069793600999999E-2</v>
      </c>
      <c r="N90" s="133">
        <f t="shared" ref="N90:N100" si="38">SUM(O90:P90)</f>
        <v>0.28493080284599998</v>
      </c>
      <c r="O90" s="241">
        <f t="shared" si="37"/>
        <v>0.28493080284599998</v>
      </c>
      <c r="P90" s="239">
        <f t="shared" si="37"/>
        <v>0</v>
      </c>
      <c r="Q90" s="133">
        <f t="shared" si="37"/>
        <v>1.1131805226E-2</v>
      </c>
      <c r="R90" s="338"/>
      <c r="S90" s="339"/>
    </row>
    <row r="91" spans="1:20">
      <c r="B91" s="142" t="s">
        <v>147</v>
      </c>
      <c r="C91" s="340" t="s">
        <v>299</v>
      </c>
      <c r="D91" s="341">
        <f>D92+D93</f>
        <v>3.1501999999999999</v>
      </c>
      <c r="E91" s="342">
        <f t="shared" si="22"/>
        <v>1.0896387440199999</v>
      </c>
      <c r="F91" s="343">
        <f>F92+F93</f>
        <v>7.456964428E-2</v>
      </c>
      <c r="G91" s="344">
        <f>G92+G93</f>
        <v>7.0844532779999983E-2</v>
      </c>
      <c r="H91" s="345">
        <f>H92+H93</f>
        <v>0.94422456696000001</v>
      </c>
      <c r="I91" s="342">
        <f t="shared" si="29"/>
        <v>2.0542800722000001</v>
      </c>
      <c r="J91" s="343">
        <f t="shared" ref="J91:Q91" si="39">J92+J93</f>
        <v>1.56541376504</v>
      </c>
      <c r="K91" s="344">
        <f t="shared" si="39"/>
        <v>0.44662527535999996</v>
      </c>
      <c r="L91" s="344">
        <f t="shared" si="39"/>
        <v>4.2241031800000002E-2</v>
      </c>
      <c r="M91" s="346">
        <f t="shared" si="39"/>
        <v>2.6556185999999997E-4</v>
      </c>
      <c r="N91" s="342">
        <f t="shared" si="38"/>
        <v>5.7894375600000001E-3</v>
      </c>
      <c r="O91" s="347">
        <f t="shared" si="39"/>
        <v>5.7894375600000001E-3</v>
      </c>
      <c r="P91" s="345">
        <f t="shared" si="39"/>
        <v>0</v>
      </c>
      <c r="Q91" s="342">
        <f t="shared" si="39"/>
        <v>2.2618435999999999E-4</v>
      </c>
      <c r="R91" s="338"/>
      <c r="S91" s="339"/>
      <c r="T91" s="211"/>
    </row>
    <row r="92" spans="1:20" ht="32.25" customHeight="1">
      <c r="B92" s="169" t="s">
        <v>406</v>
      </c>
      <c r="C92" s="170" t="s">
        <v>267</v>
      </c>
      <c r="D92" s="348">
        <v>0</v>
      </c>
      <c r="E92" s="212">
        <f t="shared" si="22"/>
        <v>0</v>
      </c>
      <c r="F92" s="215">
        <f>IFERROR($D$92*F143/100, 0)</f>
        <v>0</v>
      </c>
      <c r="G92" s="216">
        <f>IFERROR($D$92*G143/100, 0)</f>
        <v>0</v>
      </c>
      <c r="H92" s="217">
        <f>IFERROR($D$92*H143/100, 0)</f>
        <v>0</v>
      </c>
      <c r="I92" s="212">
        <f t="shared" si="29"/>
        <v>0</v>
      </c>
      <c r="J92" s="215">
        <f t="shared" ref="J92:Q92" si="40">IFERROR($D$92*J143/100, 0)</f>
        <v>0</v>
      </c>
      <c r="K92" s="216">
        <f t="shared" si="40"/>
        <v>0</v>
      </c>
      <c r="L92" s="216">
        <f t="shared" si="40"/>
        <v>0</v>
      </c>
      <c r="M92" s="214">
        <f t="shared" si="40"/>
        <v>0</v>
      </c>
      <c r="N92" s="212">
        <f t="shared" si="38"/>
        <v>0</v>
      </c>
      <c r="O92" s="219">
        <f t="shared" ref="O92:P92" si="41">IFERROR($D$92*O143/100, 0)</f>
        <v>0</v>
      </c>
      <c r="P92" s="217">
        <f t="shared" si="41"/>
        <v>0</v>
      </c>
      <c r="Q92" s="212">
        <f t="shared" si="40"/>
        <v>0</v>
      </c>
      <c r="R92" s="349"/>
      <c r="S92" s="350"/>
    </row>
    <row r="93" spans="1:20" ht="27" customHeight="1">
      <c r="B93" s="169" t="s">
        <v>407</v>
      </c>
      <c r="C93" s="170" t="s">
        <v>302</v>
      </c>
      <c r="D93" s="348">
        <v>3.1501999999999999</v>
      </c>
      <c r="E93" s="212">
        <f t="shared" si="22"/>
        <v>1.0896387440199999</v>
      </c>
      <c r="F93" s="215">
        <f>IFERROR($D$93*F144/100, 0)</f>
        <v>7.456964428E-2</v>
      </c>
      <c r="G93" s="216">
        <f>IFERROR($D$93*G144/100, 0)</f>
        <v>7.0844532779999983E-2</v>
      </c>
      <c r="H93" s="217">
        <f>IFERROR($D$93*H144/100, 0)</f>
        <v>0.94422456696000001</v>
      </c>
      <c r="I93" s="212">
        <f t="shared" si="29"/>
        <v>2.0542800722000001</v>
      </c>
      <c r="J93" s="215">
        <f t="shared" ref="J93:Q93" si="42">IFERROR($D$93*J144/100, 0)</f>
        <v>1.56541376504</v>
      </c>
      <c r="K93" s="216">
        <f t="shared" si="42"/>
        <v>0.44662527535999996</v>
      </c>
      <c r="L93" s="216">
        <f t="shared" si="42"/>
        <v>4.2241031800000002E-2</v>
      </c>
      <c r="M93" s="214">
        <f t="shared" si="42"/>
        <v>2.6556185999999997E-4</v>
      </c>
      <c r="N93" s="212">
        <f t="shared" si="38"/>
        <v>5.7894375600000001E-3</v>
      </c>
      <c r="O93" s="219">
        <f t="shared" ref="O93:P93" si="43">IFERROR($D$93*O144/100, 0)</f>
        <v>5.7894375600000001E-3</v>
      </c>
      <c r="P93" s="217">
        <f t="shared" si="43"/>
        <v>0</v>
      </c>
      <c r="Q93" s="212">
        <f t="shared" si="42"/>
        <v>2.2618435999999999E-4</v>
      </c>
      <c r="R93" s="349"/>
      <c r="S93" s="350"/>
    </row>
    <row r="94" spans="1:20">
      <c r="B94" s="150" t="s">
        <v>149</v>
      </c>
      <c r="C94" s="249" t="s">
        <v>309</v>
      </c>
      <c r="D94" s="351">
        <f>D95+D96</f>
        <v>31.35023</v>
      </c>
      <c r="E94" s="153">
        <f t="shared" si="22"/>
        <v>10.843890940872999</v>
      </c>
      <c r="F94" s="154">
        <f>F95+F96</f>
        <v>0.74210383442200012</v>
      </c>
      <c r="G94" s="155">
        <f>G95+G96</f>
        <v>0.70503218744699991</v>
      </c>
      <c r="H94" s="156">
        <f>H95+H96</f>
        <v>9.3967549190039996</v>
      </c>
      <c r="I94" s="153">
        <f t="shared" si="29"/>
        <v>20.443829835530003</v>
      </c>
      <c r="J94" s="154">
        <f t="shared" ref="J94:Q94" si="44">J95+J96</f>
        <v>15.578719312796</v>
      </c>
      <c r="K94" s="155">
        <f t="shared" si="44"/>
        <v>4.4447352886640008</v>
      </c>
      <c r="L94" s="155">
        <f t="shared" si="44"/>
        <v>0.42037523406999999</v>
      </c>
      <c r="M94" s="152">
        <f t="shared" si="44"/>
        <v>2.642824389E-3</v>
      </c>
      <c r="N94" s="153">
        <f t="shared" si="38"/>
        <v>5.7615452694000008E-2</v>
      </c>
      <c r="O94" s="158">
        <f t="shared" ref="O94:P94" si="45">O95+O96</f>
        <v>5.7615452694000008E-2</v>
      </c>
      <c r="P94" s="156">
        <f t="shared" si="45"/>
        <v>0</v>
      </c>
      <c r="Q94" s="153">
        <f t="shared" si="44"/>
        <v>2.2509465139999999E-3</v>
      </c>
      <c r="R94" s="338"/>
      <c r="S94" s="339"/>
    </row>
    <row r="95" spans="1:20" ht="29.25" customHeight="1">
      <c r="B95" s="169" t="s">
        <v>151</v>
      </c>
      <c r="C95" s="170" t="s">
        <v>311</v>
      </c>
      <c r="D95" s="348">
        <v>19.00122</v>
      </c>
      <c r="E95" s="212">
        <f t="shared" si="22"/>
        <v>6.5724288920219989</v>
      </c>
      <c r="F95" s="215">
        <f>IFERROR($D$95*F146/100, 0)</f>
        <v>0.44978547910800004</v>
      </c>
      <c r="G95" s="216">
        <f>IFERROR($D$95*G146/100, 0)</f>
        <v>0.42731653645799994</v>
      </c>
      <c r="H95" s="217">
        <f>IFERROR($D$95*H146/100, 0)</f>
        <v>5.695326876455999</v>
      </c>
      <c r="I95" s="212">
        <f t="shared" si="29"/>
        <v>12.390904575420002</v>
      </c>
      <c r="J95" s="215">
        <f t="shared" ref="J95:Q95" si="46">IFERROR($D$95*J146/100, 0)</f>
        <v>9.4421850487440011</v>
      </c>
      <c r="K95" s="216">
        <f t="shared" si="46"/>
        <v>2.6939321676960004</v>
      </c>
      <c r="L95" s="216">
        <f t="shared" si="46"/>
        <v>0.25478735897999999</v>
      </c>
      <c r="M95" s="214">
        <f t="shared" si="46"/>
        <v>1.6018028459999999E-3</v>
      </c>
      <c r="N95" s="212">
        <f t="shared" si="38"/>
        <v>3.4920442116000004E-2</v>
      </c>
      <c r="O95" s="219">
        <f t="shared" ref="O95:P95" si="47">IFERROR($D$95*O146/100, 0)</f>
        <v>3.4920442116000004E-2</v>
      </c>
      <c r="P95" s="217">
        <f t="shared" si="47"/>
        <v>0</v>
      </c>
      <c r="Q95" s="212">
        <f t="shared" si="46"/>
        <v>1.3642875960000001E-3</v>
      </c>
      <c r="R95" s="349"/>
      <c r="S95" s="350"/>
    </row>
    <row r="96" spans="1:20" ht="25.5" customHeight="1">
      <c r="B96" s="169" t="s">
        <v>153</v>
      </c>
      <c r="C96" s="170" t="s">
        <v>313</v>
      </c>
      <c r="D96" s="348">
        <v>12.34901</v>
      </c>
      <c r="E96" s="212">
        <f t="shared" si="22"/>
        <v>4.2714620488509993</v>
      </c>
      <c r="F96" s="215">
        <f>IFERROR($D$96*F147/100, 0)</f>
        <v>0.29231835531400002</v>
      </c>
      <c r="G96" s="216">
        <f>IFERROR($D$96*G147/100, 0)</f>
        <v>0.27771565098899997</v>
      </c>
      <c r="H96" s="217">
        <f>IFERROR($D$96*H147/100, 0)</f>
        <v>3.7014280425479997</v>
      </c>
      <c r="I96" s="212">
        <f t="shared" si="29"/>
        <v>8.0529252601100012</v>
      </c>
      <c r="J96" s="215">
        <f t="shared" ref="J96:Q96" si="48">IFERROR($D$96*J147/100, 0)</f>
        <v>6.136534264052</v>
      </c>
      <c r="K96" s="216">
        <f t="shared" si="48"/>
        <v>1.7508031209680002</v>
      </c>
      <c r="L96" s="216">
        <f t="shared" si="48"/>
        <v>0.16558787508999998</v>
      </c>
      <c r="M96" s="214">
        <f t="shared" si="48"/>
        <v>1.041021543E-3</v>
      </c>
      <c r="N96" s="212">
        <f t="shared" si="38"/>
        <v>2.2695010578E-2</v>
      </c>
      <c r="O96" s="219">
        <f t="shared" ref="O96:P96" si="49">IFERROR($D$96*O147/100, 0)</f>
        <v>2.2695010578E-2</v>
      </c>
      <c r="P96" s="217">
        <f t="shared" si="49"/>
        <v>0</v>
      </c>
      <c r="Q96" s="212">
        <f t="shared" si="48"/>
        <v>8.8665891799999993E-4</v>
      </c>
      <c r="R96" s="349"/>
      <c r="S96" s="350"/>
    </row>
    <row r="97" spans="2:19">
      <c r="B97" s="150" t="s">
        <v>157</v>
      </c>
      <c r="C97" s="249" t="s">
        <v>315</v>
      </c>
      <c r="D97" s="351">
        <f>D98</f>
        <v>3.9365199999999998</v>
      </c>
      <c r="E97" s="153">
        <f t="shared" si="22"/>
        <v>1.3616229790519996</v>
      </c>
      <c r="F97" s="154">
        <f>F98</f>
        <v>9.3182939527999997E-2</v>
      </c>
      <c r="G97" s="155">
        <f>G98</f>
        <v>8.8528004627999993E-2</v>
      </c>
      <c r="H97" s="156">
        <f>H98</f>
        <v>1.1799120348959997</v>
      </c>
      <c r="I97" s="153">
        <f t="shared" si="29"/>
        <v>2.5670479937200001</v>
      </c>
      <c r="J97" s="154">
        <f t="shared" ref="J97:Q97" si="50">J98</f>
        <v>1.9561559883039998</v>
      </c>
      <c r="K97" s="155">
        <f t="shared" si="50"/>
        <v>0.55810720873599995</v>
      </c>
      <c r="L97" s="155">
        <f t="shared" si="50"/>
        <v>5.2784796679999996E-2</v>
      </c>
      <c r="M97" s="152">
        <f t="shared" si="50"/>
        <v>3.3184863599999994E-4</v>
      </c>
      <c r="N97" s="153">
        <f t="shared" si="38"/>
        <v>7.2345364559999988E-3</v>
      </c>
      <c r="O97" s="158">
        <f t="shared" si="50"/>
        <v>7.2345364559999988E-3</v>
      </c>
      <c r="P97" s="156">
        <f t="shared" si="50"/>
        <v>0</v>
      </c>
      <c r="Q97" s="153">
        <f t="shared" si="50"/>
        <v>2.8264213599999999E-4</v>
      </c>
      <c r="R97" s="338"/>
      <c r="S97" s="339"/>
    </row>
    <row r="98" spans="2:19">
      <c r="B98" s="169" t="s">
        <v>408</v>
      </c>
      <c r="C98" s="170" t="s">
        <v>317</v>
      </c>
      <c r="D98" s="348">
        <v>3.9365199999999998</v>
      </c>
      <c r="E98" s="212">
        <f>IFERROR($D$98*E149/100, 0)</f>
        <v>1.3616229790519998</v>
      </c>
      <c r="F98" s="215">
        <f>IFERROR($D$98*F149/100, 0)</f>
        <v>9.3182939527999997E-2</v>
      </c>
      <c r="G98" s="216">
        <f>IFERROR($D$98*G149/100, 0)</f>
        <v>8.8528004627999993E-2</v>
      </c>
      <c r="H98" s="217">
        <f>IFERROR($D$98*H149/100, 0)</f>
        <v>1.1799120348959997</v>
      </c>
      <c r="I98" s="212">
        <f t="shared" si="29"/>
        <v>2.5670479937200001</v>
      </c>
      <c r="J98" s="215">
        <f t="shared" ref="J98:Q98" si="51">IFERROR($D$98*J149/100, 0)</f>
        <v>1.9561559883039998</v>
      </c>
      <c r="K98" s="216">
        <f t="shared" si="51"/>
        <v>0.55810720873599995</v>
      </c>
      <c r="L98" s="216">
        <f t="shared" si="51"/>
        <v>5.2784796679999996E-2</v>
      </c>
      <c r="M98" s="214">
        <f t="shared" si="51"/>
        <v>3.3184863599999994E-4</v>
      </c>
      <c r="N98" s="212">
        <f t="shared" si="38"/>
        <v>7.2345364559999988E-3</v>
      </c>
      <c r="O98" s="219">
        <f t="shared" ref="O98:P98" si="52">IFERROR($D$98*O149/100, 0)</f>
        <v>7.2345364559999988E-3</v>
      </c>
      <c r="P98" s="217">
        <f t="shared" si="52"/>
        <v>0</v>
      </c>
      <c r="Q98" s="212">
        <f t="shared" si="51"/>
        <v>2.8264213599999999E-4</v>
      </c>
      <c r="R98" s="349"/>
      <c r="S98" s="350"/>
    </row>
    <row r="99" spans="2:19">
      <c r="B99" s="150" t="s">
        <v>409</v>
      </c>
      <c r="C99" s="249" t="s">
        <v>319</v>
      </c>
      <c r="D99" s="351">
        <f>SUM(D100:D104)</f>
        <v>47.639780000000002</v>
      </c>
      <c r="E99" s="153">
        <f>SUM(F99:H99)</f>
        <v>16.478366467078001</v>
      </c>
      <c r="F99" s="154">
        <f>SUM(F100:F104)</f>
        <v>1.1277002882920002</v>
      </c>
      <c r="G99" s="155">
        <f>SUM(G100:G104)</f>
        <v>1.0713662484419999</v>
      </c>
      <c r="H99" s="156">
        <f>SUM(H100:H104)</f>
        <v>14.279299930343999</v>
      </c>
      <c r="I99" s="153">
        <f t="shared" si="29"/>
        <v>31.066424575580001</v>
      </c>
      <c r="J99" s="154">
        <f t="shared" ref="J99:Q99" si="53">SUM(J100:J104)</f>
        <v>23.673407204456002</v>
      </c>
      <c r="K99" s="155">
        <f t="shared" si="53"/>
        <v>6.7542155611040009</v>
      </c>
      <c r="L99" s="155">
        <f t="shared" si="53"/>
        <v>0.63880181002000003</v>
      </c>
      <c r="M99" s="152">
        <f t="shared" si="53"/>
        <v>4.0160334539999995E-3</v>
      </c>
      <c r="N99" s="153">
        <f t="shared" si="38"/>
        <v>8.7552387684000005E-2</v>
      </c>
      <c r="O99" s="158">
        <f t="shared" ref="O99:P99" si="54">SUM(O100:O104)</f>
        <v>8.7552387684000005E-2</v>
      </c>
      <c r="P99" s="156">
        <f t="shared" si="54"/>
        <v>0</v>
      </c>
      <c r="Q99" s="153">
        <f t="shared" si="53"/>
        <v>3.4205362039999997E-3</v>
      </c>
      <c r="R99" s="338"/>
      <c r="S99" s="339"/>
    </row>
    <row r="100" spans="2:19">
      <c r="B100" s="169" t="s">
        <v>410</v>
      </c>
      <c r="C100" s="170" t="s">
        <v>273</v>
      </c>
      <c r="D100" s="348">
        <v>29.266819999999999</v>
      </c>
      <c r="E100" s="212">
        <f>IFERROR($D$100*E151/100, 0)</f>
        <v>10.123249630581999</v>
      </c>
      <c r="F100" s="215">
        <f>IFERROR($D$100*F151/100, 0)</f>
        <v>0.6927866029480001</v>
      </c>
      <c r="G100" s="216">
        <f>IFERROR($D$100*G151/100, 0)</f>
        <v>0.65817858829799991</v>
      </c>
      <c r="H100" s="217">
        <f>IFERROR($D$100*H151/100, 0)</f>
        <v>8.7722844393359996</v>
      </c>
      <c r="I100" s="212">
        <f t="shared" si="29"/>
        <v>19.085215257020003</v>
      </c>
      <c r="J100" s="215">
        <f t="shared" ref="J100:Q100" si="55">IFERROR($D$100*J151/100, 0)</f>
        <v>14.543420381864001</v>
      </c>
      <c r="K100" s="216">
        <f t="shared" si="55"/>
        <v>4.1493560857760006</v>
      </c>
      <c r="L100" s="216">
        <f t="shared" si="55"/>
        <v>0.39243878938000004</v>
      </c>
      <c r="M100" s="214">
        <f t="shared" si="55"/>
        <v>2.4671929260000002E-3</v>
      </c>
      <c r="N100" s="212">
        <f t="shared" si="38"/>
        <v>5.3786561795999999E-2</v>
      </c>
      <c r="O100" s="219">
        <f t="shared" ref="O100:P100" si="56">IFERROR($D$100*O151/100, 0)</f>
        <v>5.3786561795999999E-2</v>
      </c>
      <c r="P100" s="217">
        <f t="shared" si="56"/>
        <v>0</v>
      </c>
      <c r="Q100" s="212">
        <f t="shared" si="55"/>
        <v>2.1013576759999998E-3</v>
      </c>
      <c r="R100" s="349"/>
      <c r="S100" s="350"/>
    </row>
    <row r="101" spans="2:19">
      <c r="B101" s="169" t="s">
        <v>411</v>
      </c>
      <c r="C101" s="170" t="s">
        <v>277</v>
      </c>
      <c r="D101" s="348">
        <v>17.8032</v>
      </c>
      <c r="E101" s="212">
        <f>IFERROR($D$101*E152/100, 0)</f>
        <v>6.1580396443199996</v>
      </c>
      <c r="F101" s="215">
        <f>IFERROR($D$101*F152/100, 0)</f>
        <v>0.42142666848000004</v>
      </c>
      <c r="G101" s="216">
        <f>IFERROR($D$101*G152/100, 0)</f>
        <v>0.40037438447999996</v>
      </c>
      <c r="H101" s="217">
        <f>IFERROR($D$101*H152/100, 0)</f>
        <v>5.3362385913599999</v>
      </c>
      <c r="I101" s="212">
        <f t="shared" si="29"/>
        <v>11.609662555200002</v>
      </c>
      <c r="J101" s="215">
        <f t="shared" ref="J101:Q101" si="57">IFERROR($D$101*J152/100, 0)</f>
        <v>8.8468587206400002</v>
      </c>
      <c r="K101" s="216">
        <f t="shared" si="57"/>
        <v>2.5240807257600002</v>
      </c>
      <c r="L101" s="216">
        <f t="shared" si="57"/>
        <v>0.2387231088</v>
      </c>
      <c r="M101" s="214">
        <f t="shared" si="57"/>
        <v>1.5008097600000001E-3</v>
      </c>
      <c r="N101" s="212">
        <f t="shared" ref="N101:N104" si="58">SUM(O101:P101)</f>
        <v>3.2718720960000003E-2</v>
      </c>
      <c r="O101" s="219">
        <f t="shared" ref="O101:P101" si="59">IFERROR($D$101*O152/100, 0)</f>
        <v>3.2718720960000003E-2</v>
      </c>
      <c r="P101" s="217">
        <f t="shared" si="59"/>
        <v>0</v>
      </c>
      <c r="Q101" s="212">
        <f t="shared" si="57"/>
        <v>1.2782697600000001E-3</v>
      </c>
      <c r="R101" s="349"/>
      <c r="S101" s="350"/>
    </row>
    <row r="102" spans="2:19">
      <c r="B102" s="169" t="s">
        <v>412</v>
      </c>
      <c r="C102" s="260" t="s">
        <v>323</v>
      </c>
      <c r="D102" s="348">
        <v>0.56976000000000004</v>
      </c>
      <c r="E102" s="212">
        <f>IFERROR($D$102*E153/100, 0)</f>
        <v>0.197077192176</v>
      </c>
      <c r="F102" s="215">
        <f>IFERROR($D$102*F153/100, 0)</f>
        <v>1.3487016864000001E-2</v>
      </c>
      <c r="G102" s="216">
        <f>IFERROR($D$102*G153/100, 0)</f>
        <v>1.2813275664E-2</v>
      </c>
      <c r="H102" s="217">
        <f>IFERROR($D$102*H153/100, 0)</f>
        <v>0.17077689964800002</v>
      </c>
      <c r="I102" s="212">
        <f t="shared" si="29"/>
        <v>0.37154676336000009</v>
      </c>
      <c r="J102" s="215">
        <f t="shared" ref="J102:Q102" si="60">IFERROR($D$102*J153/100, 0)</f>
        <v>0.28312810195200006</v>
      </c>
      <c r="K102" s="216">
        <f t="shared" si="60"/>
        <v>8.0778749568000005E-2</v>
      </c>
      <c r="L102" s="216">
        <f t="shared" si="60"/>
        <v>7.6399118400000011E-3</v>
      </c>
      <c r="M102" s="214">
        <f t="shared" si="60"/>
        <v>4.8030768E-5</v>
      </c>
      <c r="N102" s="212">
        <f t="shared" si="58"/>
        <v>1.0471049280000001E-3</v>
      </c>
      <c r="O102" s="219">
        <f t="shared" ref="O102:P102" si="61">IFERROR($D$102*O153/100, 0)</f>
        <v>1.0471049280000001E-3</v>
      </c>
      <c r="P102" s="217">
        <f t="shared" si="61"/>
        <v>0</v>
      </c>
      <c r="Q102" s="212">
        <f t="shared" si="60"/>
        <v>4.0908768000000003E-5</v>
      </c>
      <c r="R102" s="349"/>
      <c r="S102" s="350"/>
    </row>
    <row r="103" spans="2:19">
      <c r="B103" s="169" t="s">
        <v>413</v>
      </c>
      <c r="C103" s="261" t="s">
        <v>275</v>
      </c>
      <c r="D103" s="348">
        <v>0</v>
      </c>
      <c r="E103" s="212">
        <f>IFERROR($D$103*E154/100, 0)</f>
        <v>0</v>
      </c>
      <c r="F103" s="215">
        <f>IFERROR($D$103*F154/100, 0)</f>
        <v>0</v>
      </c>
      <c r="G103" s="216">
        <f>IFERROR($D$103*G154/100, 0)</f>
        <v>0</v>
      </c>
      <c r="H103" s="217">
        <f>IFERROR($D$103*H154/100, 0)</f>
        <v>0</v>
      </c>
      <c r="I103" s="212">
        <f t="shared" si="29"/>
        <v>0</v>
      </c>
      <c r="J103" s="215">
        <f t="shared" ref="J103:Q103" si="62">IFERROR($D$103*J154/100, 0)</f>
        <v>0</v>
      </c>
      <c r="K103" s="216">
        <f t="shared" si="62"/>
        <v>0</v>
      </c>
      <c r="L103" s="216">
        <f t="shared" si="62"/>
        <v>0</v>
      </c>
      <c r="M103" s="214">
        <f t="shared" si="62"/>
        <v>0</v>
      </c>
      <c r="N103" s="212">
        <f t="shared" si="58"/>
        <v>0</v>
      </c>
      <c r="O103" s="219">
        <f t="shared" ref="O103:P103" si="63">IFERROR($D$103*O154/100, 0)</f>
        <v>0</v>
      </c>
      <c r="P103" s="217">
        <f t="shared" si="63"/>
        <v>0</v>
      </c>
      <c r="Q103" s="212">
        <f t="shared" si="62"/>
        <v>0</v>
      </c>
      <c r="R103" s="349"/>
      <c r="S103" s="350"/>
    </row>
    <row r="104" spans="2:19" ht="32.25" customHeight="1">
      <c r="B104" s="169" t="s">
        <v>414</v>
      </c>
      <c r="C104" s="261" t="s">
        <v>326</v>
      </c>
      <c r="D104" s="348">
        <v>0</v>
      </c>
      <c r="E104" s="212">
        <f>IFERROR($D$104*E155/100, 0)</f>
        <v>0</v>
      </c>
      <c r="F104" s="215">
        <f>IFERROR($D$104*F155/100, 0)</f>
        <v>0</v>
      </c>
      <c r="G104" s="216">
        <f>IFERROR($D$104*G155/100, 0)</f>
        <v>0</v>
      </c>
      <c r="H104" s="217">
        <f>IFERROR($D$104*H155/100, 0)</f>
        <v>0</v>
      </c>
      <c r="I104" s="212">
        <f t="shared" si="29"/>
        <v>0</v>
      </c>
      <c r="J104" s="215">
        <f t="shared" ref="J104:Q104" si="64">IFERROR($D$104*J155/100, 0)</f>
        <v>0</v>
      </c>
      <c r="K104" s="216">
        <f t="shared" si="64"/>
        <v>0</v>
      </c>
      <c r="L104" s="216">
        <f t="shared" si="64"/>
        <v>0</v>
      </c>
      <c r="M104" s="214">
        <f t="shared" si="64"/>
        <v>0</v>
      </c>
      <c r="N104" s="212">
        <f t="shared" si="58"/>
        <v>0</v>
      </c>
      <c r="O104" s="219">
        <f t="shared" ref="O104:P104" si="65">IFERROR($D$104*O155/100, 0)</f>
        <v>0</v>
      </c>
      <c r="P104" s="217">
        <f t="shared" si="65"/>
        <v>0</v>
      </c>
      <c r="Q104" s="212">
        <f t="shared" si="64"/>
        <v>0</v>
      </c>
      <c r="R104" s="349"/>
      <c r="S104" s="350"/>
    </row>
    <row r="105" spans="2:19">
      <c r="B105" s="150" t="s">
        <v>415</v>
      </c>
      <c r="C105" s="249" t="s">
        <v>328</v>
      </c>
      <c r="D105" s="352">
        <v>6.4584400000000004</v>
      </c>
      <c r="E105" s="153">
        <f>IFERROR($D$105*E156/100, 0)</f>
        <v>2.2339427496439996</v>
      </c>
      <c r="F105" s="154">
        <f>IFERROR($D$105*F156/100, 0)</f>
        <v>0.15288031661600002</v>
      </c>
      <c r="G105" s="155">
        <f>IFERROR($D$105*G156/100, 0)</f>
        <v>0.14524321131600001</v>
      </c>
      <c r="H105" s="156">
        <f>IFERROR($D$105*H156/100, 0)</f>
        <v>1.935819221712</v>
      </c>
      <c r="I105" s="153">
        <f t="shared" si="29"/>
        <v>4.2116197668400002</v>
      </c>
      <c r="J105" s="154">
        <f t="shared" ref="J105:Q105" si="66">IFERROR($D$105*J156/100, 0)</f>
        <v>3.209361588688</v>
      </c>
      <c r="K105" s="155">
        <f t="shared" si="66"/>
        <v>0.91565695619200016</v>
      </c>
      <c r="L105" s="155">
        <f t="shared" si="66"/>
        <v>8.6601221960000002E-2</v>
      </c>
      <c r="M105" s="152">
        <f t="shared" si="66"/>
        <v>5.4444649199999996E-4</v>
      </c>
      <c r="N105" s="153">
        <f>SUM(O105:P105)</f>
        <v>1.1869321032E-2</v>
      </c>
      <c r="O105" s="158">
        <f t="shared" si="66"/>
        <v>1.1869321032E-2</v>
      </c>
      <c r="P105" s="156">
        <f t="shared" si="66"/>
        <v>0</v>
      </c>
      <c r="Q105" s="153">
        <f t="shared" si="66"/>
        <v>4.6371599200000001E-4</v>
      </c>
      <c r="R105" s="338"/>
      <c r="S105" s="339"/>
    </row>
    <row r="106" spans="2:19">
      <c r="B106" s="150" t="s">
        <v>416</v>
      </c>
      <c r="C106" s="249" t="s">
        <v>330</v>
      </c>
      <c r="D106" s="351">
        <f>SUM(D107:D110)</f>
        <v>56.824219999999997</v>
      </c>
      <c r="E106" s="153">
        <f t="shared" ref="E106:E140" si="67">SUM(F106:H106)</f>
        <v>19.655219259321999</v>
      </c>
      <c r="F106" s="154">
        <f>SUM(F107:F110)</f>
        <v>1.3451088413080001</v>
      </c>
      <c r="G106" s="155">
        <f>SUM(G107:G110)</f>
        <v>1.2779142011579998</v>
      </c>
      <c r="H106" s="156">
        <f>SUM(H107:H110)</f>
        <v>17.032196216856001</v>
      </c>
      <c r="I106" s="153">
        <f t="shared" si="29"/>
        <v>37.055698928420007</v>
      </c>
      <c r="J106" s="154">
        <f t="shared" ref="J106:Q106" si="68">SUM(J107:J110)</f>
        <v>28.237386888344002</v>
      </c>
      <c r="K106" s="155">
        <f t="shared" si="68"/>
        <v>8.0563560740960014</v>
      </c>
      <c r="L106" s="155">
        <f t="shared" si="68"/>
        <v>0.76195596598000004</v>
      </c>
      <c r="M106" s="152">
        <f t="shared" si="68"/>
        <v>4.790281746E-3</v>
      </c>
      <c r="N106" s="153">
        <f>SUM(O106:P106)</f>
        <v>0.104431551516</v>
      </c>
      <c r="O106" s="158">
        <f t="shared" ref="O106:P106" si="69">SUM(O107:O110)</f>
        <v>0.104431551516</v>
      </c>
      <c r="P106" s="156">
        <f t="shared" si="69"/>
        <v>0</v>
      </c>
      <c r="Q106" s="153">
        <f t="shared" si="68"/>
        <v>4.0799789959999984E-3</v>
      </c>
      <c r="R106" s="353"/>
      <c r="S106" s="339"/>
    </row>
    <row r="107" spans="2:19">
      <c r="B107" s="269" t="s">
        <v>417</v>
      </c>
      <c r="C107" s="270" t="s">
        <v>332</v>
      </c>
      <c r="D107" s="348">
        <v>55.233719999999998</v>
      </c>
      <c r="E107" s="212">
        <f t="shared" si="67"/>
        <v>19.105073102771996</v>
      </c>
      <c r="F107" s="215">
        <f>IFERROR($D$107*F158/100, 0)</f>
        <v>1.3074594796080001</v>
      </c>
      <c r="G107" s="216">
        <f>IFERROR($D$107*G158/100, 0)</f>
        <v>1.2421456057079998</v>
      </c>
      <c r="H107" s="217">
        <f>IFERROR($D$107*H158/100, 0)</f>
        <v>16.555468017455997</v>
      </c>
      <c r="I107" s="212">
        <f t="shared" si="29"/>
        <v>36.018516382919998</v>
      </c>
      <c r="J107" s="215">
        <f t="shared" ref="J107:Q107" si="70">IFERROR($D$107*J158/100, 0)</f>
        <v>27.447027357744002</v>
      </c>
      <c r="K107" s="216">
        <f t="shared" si="70"/>
        <v>7.8308600736959999</v>
      </c>
      <c r="L107" s="216">
        <f t="shared" si="70"/>
        <v>0.74062895147999996</v>
      </c>
      <c r="M107" s="214">
        <f t="shared" si="70"/>
        <v>4.6562025960000001E-3</v>
      </c>
      <c r="N107" s="212">
        <f>SUM(O107:P107)</f>
        <v>0.101508530616</v>
      </c>
      <c r="O107" s="219">
        <f t="shared" ref="O107:P107" si="71">IFERROR($D$107*O158/100, 0)</f>
        <v>0.101508530616</v>
      </c>
      <c r="P107" s="217">
        <f t="shared" si="71"/>
        <v>0</v>
      </c>
      <c r="Q107" s="212">
        <f t="shared" si="70"/>
        <v>3.9657810959999994E-3</v>
      </c>
      <c r="R107" s="354"/>
      <c r="S107" s="350"/>
    </row>
    <row r="108" spans="2:19">
      <c r="B108" s="269" t="s">
        <v>418</v>
      </c>
      <c r="C108" s="270" t="s">
        <v>334</v>
      </c>
      <c r="D108" s="348">
        <v>0.86672000000000005</v>
      </c>
      <c r="E108" s="212">
        <f t="shared" si="67"/>
        <v>0.299794201072</v>
      </c>
      <c r="F108" s="215">
        <f>IFERROR($D$108*F159/100, 0)</f>
        <v>2.0516475808E-2</v>
      </c>
      <c r="G108" s="216">
        <f>IFERROR($D$108*G159/100, 0)</f>
        <v>1.9491579408E-2</v>
      </c>
      <c r="H108" s="217">
        <f>IFERROR($D$108*H159/100, 0)</f>
        <v>0.25978614585600002</v>
      </c>
      <c r="I108" s="212">
        <f t="shared" si="29"/>
        <v>0.5651976459200001</v>
      </c>
      <c r="J108" s="215">
        <f t="shared" ref="J108:Q108" si="72">IFERROR($D$108*J159/100, 0)</f>
        <v>0.43069500934400007</v>
      </c>
      <c r="K108" s="216">
        <f t="shared" si="72"/>
        <v>0.12288078809600002</v>
      </c>
      <c r="L108" s="216">
        <f t="shared" si="72"/>
        <v>1.162184848E-2</v>
      </c>
      <c r="M108" s="214">
        <f t="shared" si="72"/>
        <v>7.3064496000000001E-5</v>
      </c>
      <c r="N108" s="212">
        <f t="shared" ref="N108:N110" si="73">SUM(O108:P108)</f>
        <v>1.5928580159999999E-3</v>
      </c>
      <c r="O108" s="219">
        <f t="shared" ref="O108:P108" si="74">IFERROR($D$108*O159/100, 0)</f>
        <v>1.5928580159999999E-3</v>
      </c>
      <c r="P108" s="217">
        <f t="shared" si="74"/>
        <v>0</v>
      </c>
      <c r="Q108" s="212">
        <f t="shared" si="72"/>
        <v>6.2230496000000002E-5</v>
      </c>
      <c r="R108" s="354"/>
      <c r="S108" s="350"/>
    </row>
    <row r="109" spans="2:19">
      <c r="B109" s="269" t="s">
        <v>419</v>
      </c>
      <c r="C109" s="270" t="s">
        <v>336</v>
      </c>
      <c r="D109" s="348">
        <v>0.56377999999999995</v>
      </c>
      <c r="E109" s="212">
        <f t="shared" si="67"/>
        <v>0.19500873947799996</v>
      </c>
      <c r="F109" s="215">
        <f>IFERROR($D$109*F160/100, 0)</f>
        <v>1.3345461891999999E-2</v>
      </c>
      <c r="G109" s="216">
        <f>IFERROR($D$109*G160/100, 0)</f>
        <v>1.2678792041999998E-2</v>
      </c>
      <c r="H109" s="217">
        <f>IFERROR($D$109*H160/100, 0)</f>
        <v>0.16898448554399997</v>
      </c>
      <c r="I109" s="212">
        <f t="shared" si="29"/>
        <v>0.36764713957999995</v>
      </c>
      <c r="J109" s="215">
        <f t="shared" ref="J109:Q109" si="75">IFERROR($D$109*J160/100, 0)</f>
        <v>0.28015648925599995</v>
      </c>
      <c r="K109" s="216">
        <f t="shared" si="75"/>
        <v>7.9930924304000006E-2</v>
      </c>
      <c r="L109" s="216">
        <f t="shared" si="75"/>
        <v>7.5597260199999992E-3</v>
      </c>
      <c r="M109" s="214">
        <f t="shared" si="75"/>
        <v>4.7526654000000001E-5</v>
      </c>
      <c r="N109" s="212">
        <f t="shared" si="73"/>
        <v>1.036114884E-3</v>
      </c>
      <c r="O109" s="219">
        <f t="shared" ref="O109:P109" si="76">IFERROR($D$109*O160/100, 0)</f>
        <v>1.036114884E-3</v>
      </c>
      <c r="P109" s="217">
        <f t="shared" si="76"/>
        <v>0</v>
      </c>
      <c r="Q109" s="212">
        <f t="shared" si="75"/>
        <v>4.0479403999999988E-5</v>
      </c>
      <c r="R109" s="349"/>
      <c r="S109" s="350"/>
    </row>
    <row r="110" spans="2:19">
      <c r="B110" s="269" t="s">
        <v>420</v>
      </c>
      <c r="C110" s="260" t="s">
        <v>338</v>
      </c>
      <c r="D110" s="355">
        <v>0.16</v>
      </c>
      <c r="E110" s="222">
        <f t="shared" si="67"/>
        <v>5.5343215999999994E-2</v>
      </c>
      <c r="F110" s="223">
        <f>IFERROR($D$110*F161/100, 0)</f>
        <v>3.7874240000000002E-3</v>
      </c>
      <c r="G110" s="224">
        <f>IFERROR($D$110*G161/100, 0)</f>
        <v>3.5982239999999997E-3</v>
      </c>
      <c r="H110" s="225">
        <f>IFERROR($D$110*H161/100, 0)</f>
        <v>4.7957567999999992E-2</v>
      </c>
      <c r="I110" s="222">
        <f t="shared" si="29"/>
        <v>0.10433776</v>
      </c>
      <c r="J110" s="223">
        <f t="shared" ref="J110:Q110" si="77">IFERROR($D$110*J161/100, 0)</f>
        <v>7.9508032000000006E-2</v>
      </c>
      <c r="K110" s="224">
        <f t="shared" si="77"/>
        <v>2.2684288E-2</v>
      </c>
      <c r="L110" s="224">
        <f t="shared" si="77"/>
        <v>2.1454400000000002E-3</v>
      </c>
      <c r="M110" s="221">
        <f t="shared" si="77"/>
        <v>1.3488E-5</v>
      </c>
      <c r="N110" s="212">
        <f t="shared" si="73"/>
        <v>2.9404800000000004E-4</v>
      </c>
      <c r="O110" s="227">
        <f t="shared" ref="O110:P110" si="78">IFERROR($D$110*O161/100, 0)</f>
        <v>2.9404800000000004E-4</v>
      </c>
      <c r="P110" s="225">
        <f t="shared" si="78"/>
        <v>0</v>
      </c>
      <c r="Q110" s="222">
        <f t="shared" si="77"/>
        <v>1.1487999999999999E-5</v>
      </c>
      <c r="R110" s="349"/>
      <c r="S110" s="350"/>
    </row>
    <row r="111" spans="2:19">
      <c r="B111" s="150" t="s">
        <v>421</v>
      </c>
      <c r="C111" s="249" t="s">
        <v>340</v>
      </c>
      <c r="D111" s="351">
        <f>SUM(D112:D114)</f>
        <v>2.3132999999999999</v>
      </c>
      <c r="E111" s="153">
        <f t="shared" si="67"/>
        <v>0.80015913483000001</v>
      </c>
      <c r="F111" s="154">
        <f>SUM(F112:F114)</f>
        <v>5.475904962E-2</v>
      </c>
      <c r="G111" s="155">
        <f>SUM(G112:G114)</f>
        <v>5.2023572369999993E-2</v>
      </c>
      <c r="H111" s="156">
        <f>SUM(H112:H114)</f>
        <v>0.69337651284000001</v>
      </c>
      <c r="I111" s="153">
        <f t="shared" si="29"/>
        <v>1.5085283763000001</v>
      </c>
      <c r="J111" s="154">
        <f t="shared" ref="J111:Q111" si="79">SUM(J112:J114)</f>
        <v>1.1495370651600001</v>
      </c>
      <c r="K111" s="155">
        <f t="shared" si="79"/>
        <v>0.32797227143999996</v>
      </c>
      <c r="L111" s="155">
        <f t="shared" si="79"/>
        <v>3.1019039700000001E-2</v>
      </c>
      <c r="M111" s="152">
        <f t="shared" si="79"/>
        <v>1.9501118999999998E-4</v>
      </c>
      <c r="N111" s="153">
        <f>SUM(O111:P111)</f>
        <v>4.2513827399999994E-3</v>
      </c>
      <c r="O111" s="158">
        <f t="shared" ref="O111:P111" si="80">SUM(O112:O114)</f>
        <v>4.2513827399999994E-3</v>
      </c>
      <c r="P111" s="156">
        <f t="shared" si="80"/>
        <v>0</v>
      </c>
      <c r="Q111" s="153">
        <f t="shared" si="79"/>
        <v>1.6609494E-4</v>
      </c>
      <c r="R111" s="338"/>
      <c r="S111" s="339"/>
    </row>
    <row r="112" spans="2:19">
      <c r="B112" s="269" t="s">
        <v>422</v>
      </c>
      <c r="C112" s="270" t="s">
        <v>346</v>
      </c>
      <c r="D112" s="348">
        <v>0.39500000000000002</v>
      </c>
      <c r="E112" s="212">
        <f t="shared" si="67"/>
        <v>0.13662856449999999</v>
      </c>
      <c r="F112" s="215">
        <f>IFERROR($D$112*F163/100, 0)</f>
        <v>9.3502029999999996E-3</v>
      </c>
      <c r="G112" s="216">
        <f>IFERROR($D$112*G163/100, 0)</f>
        <v>8.8831155000000002E-3</v>
      </c>
      <c r="H112" s="217">
        <f>IFERROR($D$112*H163/100, 0)</f>
        <v>0.11839524600000001</v>
      </c>
      <c r="I112" s="212">
        <f t="shared" si="29"/>
        <v>0.25758384499999998</v>
      </c>
      <c r="J112" s="215">
        <f t="shared" ref="J112:Q112" si="81">IFERROR($D$112*J163/100, 0)</f>
        <v>0.196285454</v>
      </c>
      <c r="K112" s="216">
        <f t="shared" si="81"/>
        <v>5.6001835999999999E-2</v>
      </c>
      <c r="L112" s="216">
        <f t="shared" si="81"/>
        <v>5.2965550000000005E-3</v>
      </c>
      <c r="M112" s="214">
        <f t="shared" si="81"/>
        <v>3.32985E-5</v>
      </c>
      <c r="N112" s="212">
        <f>SUM(O112:P112)</f>
        <v>7.2593100000000008E-4</v>
      </c>
      <c r="O112" s="219">
        <f t="shared" ref="O112:P112" si="82">IFERROR($D$112*O163/100, 0)</f>
        <v>7.2593100000000008E-4</v>
      </c>
      <c r="P112" s="217">
        <f t="shared" si="82"/>
        <v>0</v>
      </c>
      <c r="Q112" s="212">
        <f t="shared" si="81"/>
        <v>2.8360999999999998E-5</v>
      </c>
      <c r="R112" s="349"/>
      <c r="S112" s="350"/>
    </row>
    <row r="113" spans="2:19">
      <c r="B113" s="272" t="s">
        <v>423</v>
      </c>
      <c r="C113" s="270" t="s">
        <v>348</v>
      </c>
      <c r="D113" s="355">
        <v>0</v>
      </c>
      <c r="E113" s="212">
        <f t="shared" si="67"/>
        <v>0</v>
      </c>
      <c r="F113" s="215">
        <f>IFERROR($D$113*F164/100, 0)</f>
        <v>0</v>
      </c>
      <c r="G113" s="216">
        <f>IFERROR($D$113*G164/100, 0)</f>
        <v>0</v>
      </c>
      <c r="H113" s="217">
        <f>IFERROR($D$113*H164/100, 0)</f>
        <v>0</v>
      </c>
      <c r="I113" s="212">
        <f t="shared" si="29"/>
        <v>0</v>
      </c>
      <c r="J113" s="215">
        <f t="shared" ref="J113:Q113" si="83">IFERROR($D$113*J164/100, 0)</f>
        <v>0</v>
      </c>
      <c r="K113" s="216">
        <f t="shared" si="83"/>
        <v>0</v>
      </c>
      <c r="L113" s="216">
        <f t="shared" si="83"/>
        <v>0</v>
      </c>
      <c r="M113" s="214">
        <f t="shared" si="83"/>
        <v>0</v>
      </c>
      <c r="N113" s="212">
        <f t="shared" ref="N113:N114" si="84">SUM(O113:P113)</f>
        <v>0</v>
      </c>
      <c r="O113" s="219">
        <f t="shared" ref="O113:P113" si="85">IFERROR($D$113*O164/100, 0)</f>
        <v>0</v>
      </c>
      <c r="P113" s="217">
        <f t="shared" si="85"/>
        <v>0</v>
      </c>
      <c r="Q113" s="212">
        <f t="shared" si="83"/>
        <v>0</v>
      </c>
      <c r="R113" s="349"/>
      <c r="S113" s="350"/>
    </row>
    <row r="114" spans="2:19">
      <c r="B114" s="272" t="s">
        <v>424</v>
      </c>
      <c r="C114" s="260" t="s">
        <v>350</v>
      </c>
      <c r="D114" s="355">
        <v>1.9182999999999999</v>
      </c>
      <c r="E114" s="222">
        <f t="shared" si="67"/>
        <v>0.66353057032999996</v>
      </c>
      <c r="F114" s="223">
        <f>IFERROR($D$114*F165/100, 0)</f>
        <v>4.5408846619999998E-2</v>
      </c>
      <c r="G114" s="224">
        <f>IFERROR($D$114*G165/100, 0)</f>
        <v>4.3140456869999989E-2</v>
      </c>
      <c r="H114" s="225">
        <f>IFERROR($D$114*H165/100, 0)</f>
        <v>0.57498126683999995</v>
      </c>
      <c r="I114" s="222">
        <f t="shared" si="29"/>
        <v>1.2509445312999998</v>
      </c>
      <c r="J114" s="223">
        <f t="shared" ref="J114:Q114" si="86">IFERROR($D$114*J165/100, 0)</f>
        <v>0.95325161116000001</v>
      </c>
      <c r="K114" s="224">
        <f t="shared" si="86"/>
        <v>0.27197043543999999</v>
      </c>
      <c r="L114" s="224">
        <f t="shared" si="86"/>
        <v>2.5722484699999999E-2</v>
      </c>
      <c r="M114" s="221">
        <f t="shared" si="86"/>
        <v>1.6171268999999998E-4</v>
      </c>
      <c r="N114" s="212">
        <f t="shared" si="84"/>
        <v>3.5254517399999994E-3</v>
      </c>
      <c r="O114" s="227">
        <f t="shared" ref="O114:P114" si="87">IFERROR($D$114*O165/100, 0)</f>
        <v>3.5254517399999994E-3</v>
      </c>
      <c r="P114" s="225">
        <f t="shared" si="87"/>
        <v>0</v>
      </c>
      <c r="Q114" s="222">
        <f t="shared" si="86"/>
        <v>1.3773394E-4</v>
      </c>
      <c r="R114" s="349"/>
      <c r="S114" s="350"/>
    </row>
    <row r="115" spans="2:19">
      <c r="B115" s="150" t="s">
        <v>425</v>
      </c>
      <c r="C115" s="249" t="s">
        <v>352</v>
      </c>
      <c r="D115" s="351">
        <f>SUM(D116:D117)</f>
        <v>0</v>
      </c>
      <c r="E115" s="153">
        <f t="shared" si="67"/>
        <v>0</v>
      </c>
      <c r="F115" s="154">
        <f>F116+F117</f>
        <v>0</v>
      </c>
      <c r="G115" s="155">
        <f>G116+G117</f>
        <v>0</v>
      </c>
      <c r="H115" s="156">
        <f>H116+H117</f>
        <v>0</v>
      </c>
      <c r="I115" s="153">
        <f t="shared" si="29"/>
        <v>0</v>
      </c>
      <c r="J115" s="154">
        <f t="shared" ref="J115:Q115" si="88">J116+J117</f>
        <v>0</v>
      </c>
      <c r="K115" s="155">
        <f t="shared" si="88"/>
        <v>0</v>
      </c>
      <c r="L115" s="155">
        <f t="shared" si="88"/>
        <v>0</v>
      </c>
      <c r="M115" s="152">
        <f t="shared" si="88"/>
        <v>0</v>
      </c>
      <c r="N115" s="153">
        <f>SUM(O115:P115)</f>
        <v>0</v>
      </c>
      <c r="O115" s="158">
        <f t="shared" ref="O115:P115" si="89">O116+O117</f>
        <v>0</v>
      </c>
      <c r="P115" s="156">
        <f t="shared" si="89"/>
        <v>0</v>
      </c>
      <c r="Q115" s="153">
        <f t="shared" si="88"/>
        <v>0</v>
      </c>
      <c r="R115" s="338"/>
      <c r="S115" s="339"/>
    </row>
    <row r="116" spans="2:19">
      <c r="B116" s="269" t="s">
        <v>426</v>
      </c>
      <c r="C116" s="270" t="s">
        <v>354</v>
      </c>
      <c r="D116" s="356">
        <v>0</v>
      </c>
      <c r="E116" s="212">
        <f t="shared" si="67"/>
        <v>0</v>
      </c>
      <c r="F116" s="215">
        <f>IFERROR($D$116*F167/100, 0)</f>
        <v>0</v>
      </c>
      <c r="G116" s="216">
        <f>IFERROR($D$116*G167/100, 0)</f>
        <v>0</v>
      </c>
      <c r="H116" s="217">
        <f>IFERROR($D$116*H167/100, 0)</f>
        <v>0</v>
      </c>
      <c r="I116" s="212">
        <f t="shared" si="29"/>
        <v>0</v>
      </c>
      <c r="J116" s="215">
        <f t="shared" ref="J116:Q116" si="90">IFERROR($D$116*J167/100, 0)</f>
        <v>0</v>
      </c>
      <c r="K116" s="216">
        <f t="shared" si="90"/>
        <v>0</v>
      </c>
      <c r="L116" s="216">
        <f t="shared" si="90"/>
        <v>0</v>
      </c>
      <c r="M116" s="214">
        <f t="shared" si="90"/>
        <v>0</v>
      </c>
      <c r="N116" s="212">
        <f>SUM(O116:P116)</f>
        <v>0</v>
      </c>
      <c r="O116" s="219">
        <f t="shared" ref="O116:P116" si="91">IFERROR($D$116*O167/100, 0)</f>
        <v>0</v>
      </c>
      <c r="P116" s="217">
        <f t="shared" si="91"/>
        <v>0</v>
      </c>
      <c r="Q116" s="212">
        <f t="shared" si="90"/>
        <v>0</v>
      </c>
      <c r="R116" s="349"/>
      <c r="S116" s="350"/>
    </row>
    <row r="117" spans="2:19">
      <c r="B117" s="272" t="s">
        <v>427</v>
      </c>
      <c r="C117" s="260" t="s">
        <v>356</v>
      </c>
      <c r="D117" s="357">
        <v>0</v>
      </c>
      <c r="E117" s="222">
        <f t="shared" si="67"/>
        <v>0</v>
      </c>
      <c r="F117" s="223">
        <f>IFERROR($D$117*F168/100, 0)</f>
        <v>0</v>
      </c>
      <c r="G117" s="224">
        <f>IFERROR($D$117*G168/100, 0)</f>
        <v>0</v>
      </c>
      <c r="H117" s="225">
        <f>IFERROR($D$117*H168/100, 0)</f>
        <v>0</v>
      </c>
      <c r="I117" s="222">
        <f t="shared" si="29"/>
        <v>0</v>
      </c>
      <c r="J117" s="223">
        <f t="shared" ref="J117:Q117" si="92">IFERROR($D$117*J168/100, 0)</f>
        <v>0</v>
      </c>
      <c r="K117" s="224">
        <f t="shared" si="92"/>
        <v>0</v>
      </c>
      <c r="L117" s="224">
        <f t="shared" si="92"/>
        <v>0</v>
      </c>
      <c r="M117" s="221">
        <f t="shared" si="92"/>
        <v>0</v>
      </c>
      <c r="N117" s="212">
        <f>SUM(O117:P117)</f>
        <v>0</v>
      </c>
      <c r="O117" s="227">
        <f t="shared" ref="O117:P117" si="93">IFERROR($D$117*O168/100, 0)</f>
        <v>0</v>
      </c>
      <c r="P117" s="225">
        <f t="shared" si="93"/>
        <v>0</v>
      </c>
      <c r="Q117" s="222">
        <f t="shared" si="92"/>
        <v>0</v>
      </c>
      <c r="R117" s="349"/>
      <c r="S117" s="350"/>
    </row>
    <row r="118" spans="2:19">
      <c r="B118" s="150" t="s">
        <v>428</v>
      </c>
      <c r="C118" s="249" t="s">
        <v>358</v>
      </c>
      <c r="D118" s="351">
        <f>SUM(D119:D132)</f>
        <v>1.0330000000000001E-2</v>
      </c>
      <c r="E118" s="153">
        <f t="shared" si="67"/>
        <v>3.5730963830000002E-3</v>
      </c>
      <c r="F118" s="154">
        <f>SUM(F119:F132)</f>
        <v>2.4452556200000003E-4</v>
      </c>
      <c r="G118" s="155">
        <f>SUM(G119:G132)</f>
        <v>2.3231033700000001E-4</v>
      </c>
      <c r="H118" s="156">
        <f>SUM(H119:H132)</f>
        <v>3.0962604840000002E-3</v>
      </c>
      <c r="I118" s="153">
        <f t="shared" si="29"/>
        <v>6.7363066300000001E-3</v>
      </c>
      <c r="J118" s="154">
        <f t="shared" ref="J118:Q118" si="94">SUM(J119:J132)</f>
        <v>5.1332373160000002E-3</v>
      </c>
      <c r="K118" s="155">
        <f t="shared" si="94"/>
        <v>1.464554344E-3</v>
      </c>
      <c r="L118" s="155">
        <f t="shared" si="94"/>
        <v>1.3851497000000001E-4</v>
      </c>
      <c r="M118" s="152">
        <f t="shared" si="94"/>
        <v>8.7081900000000009E-7</v>
      </c>
      <c r="N118" s="153">
        <f>SUM(O118:P118)</f>
        <v>1.8984474E-5</v>
      </c>
      <c r="O118" s="158">
        <f t="shared" ref="O118:P118" si="95">SUM(O119:O132)</f>
        <v>1.8984474E-5</v>
      </c>
      <c r="P118" s="156">
        <f t="shared" si="95"/>
        <v>0</v>
      </c>
      <c r="Q118" s="153">
        <f t="shared" si="94"/>
        <v>7.4169399999999997E-7</v>
      </c>
      <c r="R118" s="338"/>
      <c r="S118" s="339"/>
    </row>
    <row r="119" spans="2:19">
      <c r="B119" s="269" t="s">
        <v>429</v>
      </c>
      <c r="C119" s="270" t="s">
        <v>360</v>
      </c>
      <c r="D119" s="348">
        <v>0</v>
      </c>
      <c r="E119" s="212">
        <f t="shared" si="67"/>
        <v>0</v>
      </c>
      <c r="F119" s="215">
        <f>IFERROR($D$119*F170/100, 0)</f>
        <v>0</v>
      </c>
      <c r="G119" s="216">
        <f>IFERROR($D$119*G170/100, 0)</f>
        <v>0</v>
      </c>
      <c r="H119" s="217">
        <f>IFERROR($D$119*H170/100, 0)</f>
        <v>0</v>
      </c>
      <c r="I119" s="212">
        <f t="shared" si="29"/>
        <v>0</v>
      </c>
      <c r="J119" s="215">
        <f t="shared" ref="J119:Q119" si="96">IFERROR($D$119*J170/100, 0)</f>
        <v>0</v>
      </c>
      <c r="K119" s="216">
        <f t="shared" si="96"/>
        <v>0</v>
      </c>
      <c r="L119" s="216">
        <f t="shared" si="96"/>
        <v>0</v>
      </c>
      <c r="M119" s="214">
        <f t="shared" si="96"/>
        <v>0</v>
      </c>
      <c r="N119" s="212">
        <f>SUM(O119:P119)</f>
        <v>0</v>
      </c>
      <c r="O119" s="219">
        <f t="shared" ref="O119:P119" si="97">IFERROR($D$119*O170/100, 0)</f>
        <v>0</v>
      </c>
      <c r="P119" s="217">
        <f t="shared" si="97"/>
        <v>0</v>
      </c>
      <c r="Q119" s="212">
        <f t="shared" si="96"/>
        <v>0</v>
      </c>
      <c r="R119" s="349"/>
      <c r="S119" s="350"/>
    </row>
    <row r="120" spans="2:19">
      <c r="B120" s="269" t="s">
        <v>430</v>
      </c>
      <c r="C120" s="270" t="s">
        <v>362</v>
      </c>
      <c r="D120" s="348">
        <v>0</v>
      </c>
      <c r="E120" s="212">
        <f t="shared" si="67"/>
        <v>0</v>
      </c>
      <c r="F120" s="215">
        <f>IFERROR($D$120*F171/100, 0)</f>
        <v>0</v>
      </c>
      <c r="G120" s="216">
        <f>IFERROR($D$120*G171/100, 0)</f>
        <v>0</v>
      </c>
      <c r="H120" s="217">
        <f>IFERROR($D$120*H171/100, 0)</f>
        <v>0</v>
      </c>
      <c r="I120" s="212">
        <f t="shared" si="29"/>
        <v>0</v>
      </c>
      <c r="J120" s="215">
        <f t="shared" ref="J120:Q120" si="98">IFERROR($D$120*J171/100, 0)</f>
        <v>0</v>
      </c>
      <c r="K120" s="216">
        <f t="shared" si="98"/>
        <v>0</v>
      </c>
      <c r="L120" s="216">
        <f t="shared" si="98"/>
        <v>0</v>
      </c>
      <c r="M120" s="214">
        <f t="shared" si="98"/>
        <v>0</v>
      </c>
      <c r="N120" s="212">
        <f t="shared" ref="N120:N132" si="99">SUM(O120:P120)</f>
        <v>0</v>
      </c>
      <c r="O120" s="219">
        <f t="shared" ref="O120:P120" si="100">IFERROR($D$120*O171/100, 0)</f>
        <v>0</v>
      </c>
      <c r="P120" s="217">
        <f t="shared" si="100"/>
        <v>0</v>
      </c>
      <c r="Q120" s="212">
        <f t="shared" si="98"/>
        <v>0</v>
      </c>
      <c r="R120" s="349"/>
      <c r="S120" s="350"/>
    </row>
    <row r="121" spans="2:19">
      <c r="B121" s="269" t="s">
        <v>431</v>
      </c>
      <c r="C121" s="270" t="s">
        <v>364</v>
      </c>
      <c r="D121" s="348">
        <v>0</v>
      </c>
      <c r="E121" s="212">
        <f t="shared" si="67"/>
        <v>0</v>
      </c>
      <c r="F121" s="215">
        <f>IFERROR($D$121*F172/100, 0)</f>
        <v>0</v>
      </c>
      <c r="G121" s="216">
        <f>IFERROR($D$121*G172/100, 0)</f>
        <v>0</v>
      </c>
      <c r="H121" s="217">
        <f>IFERROR($D$121*H172/100, 0)</f>
        <v>0</v>
      </c>
      <c r="I121" s="212">
        <f t="shared" ref="I121:I140" si="101">SUM(J121:L121)</f>
        <v>0</v>
      </c>
      <c r="J121" s="215">
        <f t="shared" ref="J121:Q121" si="102">IFERROR($D$121*J172/100, 0)</f>
        <v>0</v>
      </c>
      <c r="K121" s="216">
        <f t="shared" si="102"/>
        <v>0</v>
      </c>
      <c r="L121" s="216">
        <f t="shared" si="102"/>
        <v>0</v>
      </c>
      <c r="M121" s="214">
        <f t="shared" si="102"/>
        <v>0</v>
      </c>
      <c r="N121" s="212">
        <f t="shared" si="99"/>
        <v>0</v>
      </c>
      <c r="O121" s="219">
        <f t="shared" ref="O121:P121" si="103">IFERROR($D$121*O172/100, 0)</f>
        <v>0</v>
      </c>
      <c r="P121" s="217">
        <f t="shared" si="103"/>
        <v>0</v>
      </c>
      <c r="Q121" s="212">
        <f t="shared" si="102"/>
        <v>0</v>
      </c>
      <c r="R121" s="349"/>
      <c r="S121" s="350"/>
    </row>
    <row r="122" spans="2:19">
      <c r="B122" s="269" t="s">
        <v>432</v>
      </c>
      <c r="C122" s="270" t="s">
        <v>366</v>
      </c>
      <c r="D122" s="348">
        <v>0</v>
      </c>
      <c r="E122" s="212">
        <f t="shared" si="67"/>
        <v>0</v>
      </c>
      <c r="F122" s="215">
        <f>IFERROR($D$122*F173/100, 0)</f>
        <v>0</v>
      </c>
      <c r="G122" s="216">
        <f>IFERROR($D$122*G173/100, 0)</f>
        <v>0</v>
      </c>
      <c r="H122" s="217">
        <f>IFERROR($D$122*H173/100, 0)</f>
        <v>0</v>
      </c>
      <c r="I122" s="212">
        <f t="shared" si="101"/>
        <v>0</v>
      </c>
      <c r="J122" s="215">
        <f t="shared" ref="J122:Q122" si="104">IFERROR($D$122*J173/100, 0)</f>
        <v>0</v>
      </c>
      <c r="K122" s="216">
        <f t="shared" si="104"/>
        <v>0</v>
      </c>
      <c r="L122" s="216">
        <f t="shared" si="104"/>
        <v>0</v>
      </c>
      <c r="M122" s="214">
        <f t="shared" si="104"/>
        <v>0</v>
      </c>
      <c r="N122" s="212">
        <f t="shared" si="99"/>
        <v>0</v>
      </c>
      <c r="O122" s="219">
        <f t="shared" ref="O122:P122" si="105">IFERROR($D$122*O173/100, 0)</f>
        <v>0</v>
      </c>
      <c r="P122" s="217">
        <f t="shared" si="105"/>
        <v>0</v>
      </c>
      <c r="Q122" s="212">
        <f t="shared" si="104"/>
        <v>0</v>
      </c>
      <c r="R122" s="349"/>
      <c r="S122" s="350"/>
    </row>
    <row r="123" spans="2:19">
      <c r="B123" s="269" t="s">
        <v>433</v>
      </c>
      <c r="C123" s="270" t="s">
        <v>368</v>
      </c>
      <c r="D123" s="348">
        <v>1.0330000000000001E-2</v>
      </c>
      <c r="E123" s="212">
        <f t="shared" si="67"/>
        <v>3.5730963830000002E-3</v>
      </c>
      <c r="F123" s="215">
        <f>IFERROR($D$123*F174/100, 0)</f>
        <v>2.4452556200000003E-4</v>
      </c>
      <c r="G123" s="216">
        <f>IFERROR($D$123*G174/100, 0)</f>
        <v>2.3231033700000001E-4</v>
      </c>
      <c r="H123" s="217">
        <f>IFERROR($D$123*H174/100, 0)</f>
        <v>3.0962604840000002E-3</v>
      </c>
      <c r="I123" s="212">
        <f t="shared" si="101"/>
        <v>6.7363066300000001E-3</v>
      </c>
      <c r="J123" s="215">
        <f t="shared" ref="J123:Q123" si="106">IFERROR($D$123*J174/100, 0)</f>
        <v>5.1332373160000002E-3</v>
      </c>
      <c r="K123" s="216">
        <f t="shared" si="106"/>
        <v>1.464554344E-3</v>
      </c>
      <c r="L123" s="216">
        <f t="shared" si="106"/>
        <v>1.3851497000000001E-4</v>
      </c>
      <c r="M123" s="214">
        <f t="shared" si="106"/>
        <v>8.7081900000000009E-7</v>
      </c>
      <c r="N123" s="212">
        <f t="shared" si="99"/>
        <v>1.8984474E-5</v>
      </c>
      <c r="O123" s="219">
        <f t="shared" ref="O123:P123" si="107">IFERROR($D$123*O174/100, 0)</f>
        <v>1.8984474E-5</v>
      </c>
      <c r="P123" s="217">
        <f t="shared" si="107"/>
        <v>0</v>
      </c>
      <c r="Q123" s="212">
        <f t="shared" si="106"/>
        <v>7.4169399999999997E-7</v>
      </c>
      <c r="R123" s="349"/>
      <c r="S123" s="350"/>
    </row>
    <row r="124" spans="2:19">
      <c r="B124" s="269" t="s">
        <v>434</v>
      </c>
      <c r="C124" s="270" t="s">
        <v>370</v>
      </c>
      <c r="D124" s="356">
        <v>0</v>
      </c>
      <c r="E124" s="212">
        <f t="shared" si="67"/>
        <v>0</v>
      </c>
      <c r="F124" s="215">
        <f>IFERROR($D$124*F175/100, 0)</f>
        <v>0</v>
      </c>
      <c r="G124" s="216">
        <f>IFERROR($D$124*G175/100, 0)</f>
        <v>0</v>
      </c>
      <c r="H124" s="217">
        <f>IFERROR($D$124*H175/100, 0)</f>
        <v>0</v>
      </c>
      <c r="I124" s="212">
        <f t="shared" si="101"/>
        <v>0</v>
      </c>
      <c r="J124" s="215">
        <f t="shared" ref="J124:Q124" si="108">IFERROR($D$124*J175/100, 0)</f>
        <v>0</v>
      </c>
      <c r="K124" s="216">
        <f t="shared" si="108"/>
        <v>0</v>
      </c>
      <c r="L124" s="216">
        <f t="shared" si="108"/>
        <v>0</v>
      </c>
      <c r="M124" s="214">
        <f t="shared" si="108"/>
        <v>0</v>
      </c>
      <c r="N124" s="212">
        <f t="shared" si="99"/>
        <v>0</v>
      </c>
      <c r="O124" s="219">
        <f t="shared" ref="O124:P124" si="109">IFERROR($D$124*O175/100, 0)</f>
        <v>0</v>
      </c>
      <c r="P124" s="217">
        <f t="shared" si="109"/>
        <v>0</v>
      </c>
      <c r="Q124" s="212">
        <f t="shared" si="108"/>
        <v>0</v>
      </c>
      <c r="R124" s="349"/>
      <c r="S124" s="350"/>
    </row>
    <row r="125" spans="2:19">
      <c r="B125" s="269" t="s">
        <v>435</v>
      </c>
      <c r="C125" s="270" t="s">
        <v>372</v>
      </c>
      <c r="D125" s="348">
        <v>0</v>
      </c>
      <c r="E125" s="212">
        <f t="shared" si="67"/>
        <v>0</v>
      </c>
      <c r="F125" s="215">
        <f>IFERROR($D$125*F176/100, 0)</f>
        <v>0</v>
      </c>
      <c r="G125" s="216">
        <f>IFERROR($D$125*G176/100, 0)</f>
        <v>0</v>
      </c>
      <c r="H125" s="217">
        <f>IFERROR($D$125*H176/100, 0)</f>
        <v>0</v>
      </c>
      <c r="I125" s="212">
        <f t="shared" si="101"/>
        <v>0</v>
      </c>
      <c r="J125" s="215">
        <f t="shared" ref="J125:Q125" si="110">IFERROR($D$125*J176/100, 0)</f>
        <v>0</v>
      </c>
      <c r="K125" s="216">
        <f t="shared" si="110"/>
        <v>0</v>
      </c>
      <c r="L125" s="216">
        <f t="shared" si="110"/>
        <v>0</v>
      </c>
      <c r="M125" s="214">
        <f t="shared" si="110"/>
        <v>0</v>
      </c>
      <c r="N125" s="212">
        <f t="shared" si="99"/>
        <v>0</v>
      </c>
      <c r="O125" s="219">
        <f t="shared" ref="O125:P125" si="111">IFERROR($D$125*O176/100, 0)</f>
        <v>0</v>
      </c>
      <c r="P125" s="217">
        <f t="shared" si="111"/>
        <v>0</v>
      </c>
      <c r="Q125" s="212">
        <f t="shared" si="110"/>
        <v>0</v>
      </c>
      <c r="R125" s="349"/>
      <c r="S125" s="350"/>
    </row>
    <row r="126" spans="2:19">
      <c r="B126" s="269" t="s">
        <v>436</v>
      </c>
      <c r="C126" s="270" t="s">
        <v>374</v>
      </c>
      <c r="D126" s="348">
        <v>0</v>
      </c>
      <c r="E126" s="212">
        <f t="shared" si="67"/>
        <v>0</v>
      </c>
      <c r="F126" s="215">
        <f>IFERROR($D$126*F177/100, 0)</f>
        <v>0</v>
      </c>
      <c r="G126" s="216">
        <f>IFERROR($D$126*G177/100, 0)</f>
        <v>0</v>
      </c>
      <c r="H126" s="217">
        <f>IFERROR($D$126*H177/100, 0)</f>
        <v>0</v>
      </c>
      <c r="I126" s="212">
        <f t="shared" si="101"/>
        <v>0</v>
      </c>
      <c r="J126" s="215">
        <f t="shared" ref="J126:Q126" si="112">IFERROR($D$126*J177/100, 0)</f>
        <v>0</v>
      </c>
      <c r="K126" s="216">
        <f t="shared" si="112"/>
        <v>0</v>
      </c>
      <c r="L126" s="216">
        <f t="shared" si="112"/>
        <v>0</v>
      </c>
      <c r="M126" s="214">
        <f t="shared" si="112"/>
        <v>0</v>
      </c>
      <c r="N126" s="212">
        <f t="shared" si="99"/>
        <v>0</v>
      </c>
      <c r="O126" s="219">
        <f t="shared" ref="O126:P126" si="113">IFERROR($D$126*O177/100, 0)</f>
        <v>0</v>
      </c>
      <c r="P126" s="217">
        <f t="shared" si="113"/>
        <v>0</v>
      </c>
      <c r="Q126" s="212">
        <f t="shared" si="112"/>
        <v>0</v>
      </c>
      <c r="R126" s="349"/>
      <c r="S126" s="350"/>
    </row>
    <row r="127" spans="2:19">
      <c r="B127" s="269" t="s">
        <v>437</v>
      </c>
      <c r="C127" s="270" t="s">
        <v>376</v>
      </c>
      <c r="D127" s="348">
        <v>0</v>
      </c>
      <c r="E127" s="212">
        <f t="shared" si="67"/>
        <v>0</v>
      </c>
      <c r="F127" s="215">
        <f>IFERROR($D$127*F178/100, 0)</f>
        <v>0</v>
      </c>
      <c r="G127" s="216">
        <f>IFERROR($D$127*G178/100, 0)</f>
        <v>0</v>
      </c>
      <c r="H127" s="217">
        <f>IFERROR($D$127*H178/100, 0)</f>
        <v>0</v>
      </c>
      <c r="I127" s="212">
        <f t="shared" si="101"/>
        <v>0</v>
      </c>
      <c r="J127" s="215">
        <f t="shared" ref="J127:Q127" si="114">IFERROR($D$127*J178/100, 0)</f>
        <v>0</v>
      </c>
      <c r="K127" s="216">
        <f t="shared" si="114"/>
        <v>0</v>
      </c>
      <c r="L127" s="216">
        <f t="shared" si="114"/>
        <v>0</v>
      </c>
      <c r="M127" s="214">
        <f t="shared" si="114"/>
        <v>0</v>
      </c>
      <c r="N127" s="212">
        <f t="shared" si="99"/>
        <v>0</v>
      </c>
      <c r="O127" s="219">
        <f t="shared" ref="O127:P127" si="115">IFERROR($D$127*O178/100, 0)</f>
        <v>0</v>
      </c>
      <c r="P127" s="217">
        <f t="shared" si="115"/>
        <v>0</v>
      </c>
      <c r="Q127" s="212">
        <f t="shared" si="114"/>
        <v>0</v>
      </c>
      <c r="R127" s="349"/>
      <c r="S127" s="350"/>
    </row>
    <row r="128" spans="2:19">
      <c r="B128" s="269" t="s">
        <v>438</v>
      </c>
      <c r="C128" s="270" t="s">
        <v>378</v>
      </c>
      <c r="D128" s="348">
        <v>0</v>
      </c>
      <c r="E128" s="212">
        <f t="shared" si="67"/>
        <v>0</v>
      </c>
      <c r="F128" s="215">
        <f>IFERROR($D$128*F179/100, 0)</f>
        <v>0</v>
      </c>
      <c r="G128" s="216">
        <f>IFERROR($D$128*G179/100, 0)</f>
        <v>0</v>
      </c>
      <c r="H128" s="217">
        <f>IFERROR($D$128*H179/100, 0)</f>
        <v>0</v>
      </c>
      <c r="I128" s="212">
        <f t="shared" si="101"/>
        <v>0</v>
      </c>
      <c r="J128" s="215">
        <f t="shared" ref="J128:Q128" si="116">IFERROR($D$128*J179/100, 0)</f>
        <v>0</v>
      </c>
      <c r="K128" s="216">
        <f t="shared" si="116"/>
        <v>0</v>
      </c>
      <c r="L128" s="216">
        <f t="shared" si="116"/>
        <v>0</v>
      </c>
      <c r="M128" s="214">
        <f t="shared" si="116"/>
        <v>0</v>
      </c>
      <c r="N128" s="212">
        <f t="shared" si="99"/>
        <v>0</v>
      </c>
      <c r="O128" s="219">
        <f t="shared" ref="O128:P128" si="117">IFERROR($D$128*O179/100, 0)</f>
        <v>0</v>
      </c>
      <c r="P128" s="217">
        <f t="shared" si="117"/>
        <v>0</v>
      </c>
      <c r="Q128" s="212">
        <f t="shared" si="116"/>
        <v>0</v>
      </c>
      <c r="R128" s="349"/>
      <c r="S128" s="350"/>
    </row>
    <row r="129" spans="2:19">
      <c r="B129" s="269" t="s">
        <v>439</v>
      </c>
      <c r="C129" s="270" t="s">
        <v>380</v>
      </c>
      <c r="D129" s="348">
        <v>0</v>
      </c>
      <c r="E129" s="212">
        <f t="shared" si="67"/>
        <v>0</v>
      </c>
      <c r="F129" s="215">
        <f>IFERROR($D$129*F180/100, 0)</f>
        <v>0</v>
      </c>
      <c r="G129" s="216">
        <f>IFERROR($D$129*G180/100, 0)</f>
        <v>0</v>
      </c>
      <c r="H129" s="217">
        <f>IFERROR($D$129*H180/100, 0)</f>
        <v>0</v>
      </c>
      <c r="I129" s="212">
        <f t="shared" si="101"/>
        <v>0</v>
      </c>
      <c r="J129" s="215">
        <f t="shared" ref="J129:Q129" si="118">IFERROR($D$129*J180/100, 0)</f>
        <v>0</v>
      </c>
      <c r="K129" s="216">
        <f t="shared" si="118"/>
        <v>0</v>
      </c>
      <c r="L129" s="216">
        <f t="shared" si="118"/>
        <v>0</v>
      </c>
      <c r="M129" s="214">
        <f t="shared" si="118"/>
        <v>0</v>
      </c>
      <c r="N129" s="212">
        <f t="shared" si="99"/>
        <v>0</v>
      </c>
      <c r="O129" s="219">
        <f t="shared" ref="O129:P129" si="119">IFERROR($D$129*O180/100, 0)</f>
        <v>0</v>
      </c>
      <c r="P129" s="217">
        <f t="shared" si="119"/>
        <v>0</v>
      </c>
      <c r="Q129" s="212">
        <f t="shared" si="118"/>
        <v>0</v>
      </c>
      <c r="R129" s="349"/>
      <c r="S129" s="350"/>
    </row>
    <row r="130" spans="2:19">
      <c r="B130" s="269" t="s">
        <v>440</v>
      </c>
      <c r="C130" s="270" t="s">
        <v>382</v>
      </c>
      <c r="D130" s="348">
        <v>0</v>
      </c>
      <c r="E130" s="212">
        <f t="shared" si="67"/>
        <v>0</v>
      </c>
      <c r="F130" s="215">
        <f>IFERROR($D$130*F181/100, 0)</f>
        <v>0</v>
      </c>
      <c r="G130" s="216">
        <f>IFERROR($D$130*G181/100, 0)</f>
        <v>0</v>
      </c>
      <c r="H130" s="217">
        <f>IFERROR($D$130*H181/100, 0)</f>
        <v>0</v>
      </c>
      <c r="I130" s="212">
        <f t="shared" si="101"/>
        <v>0</v>
      </c>
      <c r="J130" s="215">
        <f t="shared" ref="J130:Q130" si="120">IFERROR($D$130*J181/100, 0)</f>
        <v>0</v>
      </c>
      <c r="K130" s="216">
        <f t="shared" si="120"/>
        <v>0</v>
      </c>
      <c r="L130" s="216">
        <f t="shared" si="120"/>
        <v>0</v>
      </c>
      <c r="M130" s="214">
        <f t="shared" si="120"/>
        <v>0</v>
      </c>
      <c r="N130" s="212">
        <f t="shared" si="99"/>
        <v>0</v>
      </c>
      <c r="O130" s="219">
        <f t="shared" ref="O130:P130" si="121">IFERROR($D$130*O181/100, 0)</f>
        <v>0</v>
      </c>
      <c r="P130" s="217">
        <f t="shared" si="121"/>
        <v>0</v>
      </c>
      <c r="Q130" s="212">
        <f t="shared" si="120"/>
        <v>0</v>
      </c>
      <c r="R130" s="349"/>
      <c r="S130" s="350"/>
    </row>
    <row r="131" spans="2:19">
      <c r="B131" s="269" t="s">
        <v>441</v>
      </c>
      <c r="C131" s="270" t="s">
        <v>384</v>
      </c>
      <c r="D131" s="348">
        <v>0</v>
      </c>
      <c r="E131" s="212">
        <f t="shared" si="67"/>
        <v>0</v>
      </c>
      <c r="F131" s="215">
        <f>IFERROR($D$131*F182/100, 0)</f>
        <v>0</v>
      </c>
      <c r="G131" s="216">
        <f>IFERROR($D$131*G182/100, 0)</f>
        <v>0</v>
      </c>
      <c r="H131" s="217">
        <f>IFERROR($D$131*H182/100, 0)</f>
        <v>0</v>
      </c>
      <c r="I131" s="212">
        <f t="shared" si="101"/>
        <v>0</v>
      </c>
      <c r="J131" s="215">
        <f t="shared" ref="J131:Q131" si="122">IFERROR($D$131*J182/100, 0)</f>
        <v>0</v>
      </c>
      <c r="K131" s="216">
        <f t="shared" si="122"/>
        <v>0</v>
      </c>
      <c r="L131" s="216">
        <f t="shared" si="122"/>
        <v>0</v>
      </c>
      <c r="M131" s="214">
        <f t="shared" si="122"/>
        <v>0</v>
      </c>
      <c r="N131" s="212">
        <f t="shared" si="99"/>
        <v>0</v>
      </c>
      <c r="O131" s="219">
        <f t="shared" ref="O131:P131" si="123">IFERROR($D$131*O182/100, 0)</f>
        <v>0</v>
      </c>
      <c r="P131" s="217">
        <f t="shared" si="123"/>
        <v>0</v>
      </c>
      <c r="Q131" s="212">
        <f t="shared" si="122"/>
        <v>0</v>
      </c>
      <c r="R131" s="349"/>
      <c r="S131" s="350"/>
    </row>
    <row r="132" spans="2:19">
      <c r="B132" s="294" t="s">
        <v>442</v>
      </c>
      <c r="C132" s="295" t="s">
        <v>386</v>
      </c>
      <c r="D132" s="358">
        <v>0</v>
      </c>
      <c r="E132" s="359">
        <f t="shared" si="67"/>
        <v>0</v>
      </c>
      <c r="F132" s="360">
        <f>IFERROR($D$132*F183/100, 0)</f>
        <v>0</v>
      </c>
      <c r="G132" s="361">
        <f>IFERROR($D$132*G183/100, 0)</f>
        <v>0</v>
      </c>
      <c r="H132" s="362">
        <f>IFERROR($D$132*H183/100, 0)</f>
        <v>0</v>
      </c>
      <c r="I132" s="359">
        <f t="shared" si="101"/>
        <v>0</v>
      </c>
      <c r="J132" s="360">
        <f t="shared" ref="J132:Q132" si="124">IFERROR($D$132*J183/100, 0)</f>
        <v>0</v>
      </c>
      <c r="K132" s="361">
        <f t="shared" si="124"/>
        <v>0</v>
      </c>
      <c r="L132" s="361">
        <f t="shared" si="124"/>
        <v>0</v>
      </c>
      <c r="M132" s="363">
        <f t="shared" si="124"/>
        <v>0</v>
      </c>
      <c r="N132" s="359">
        <f t="shared" si="99"/>
        <v>0</v>
      </c>
      <c r="O132" s="364">
        <f t="shared" ref="O132:P132" si="125">IFERROR($D$132*O183/100, 0)</f>
        <v>0</v>
      </c>
      <c r="P132" s="362">
        <f t="shared" si="125"/>
        <v>0</v>
      </c>
      <c r="Q132" s="359">
        <f t="shared" si="124"/>
        <v>0</v>
      </c>
      <c r="R132" s="349"/>
      <c r="S132" s="350"/>
    </row>
    <row r="133" spans="2:19">
      <c r="B133" s="305" t="s">
        <v>443</v>
      </c>
      <c r="C133" s="306" t="s">
        <v>388</v>
      </c>
      <c r="D133" s="365">
        <v>0</v>
      </c>
      <c r="E133" s="308">
        <f t="shared" si="67"/>
        <v>0</v>
      </c>
      <c r="F133" s="366">
        <f>IFERROR($D$133*F184/100, 0)</f>
        <v>0</v>
      </c>
      <c r="G133" s="367">
        <f>IFERROR($D$133*G184/100, 0)</f>
        <v>0</v>
      </c>
      <c r="H133" s="368">
        <f>IFERROR($D$133*H184/100, 0)</f>
        <v>0</v>
      </c>
      <c r="I133" s="308">
        <f t="shared" si="101"/>
        <v>0</v>
      </c>
      <c r="J133" s="366">
        <f t="shared" ref="J133:Q133" si="126">IFERROR($D$133*J184/100, 0)</f>
        <v>0</v>
      </c>
      <c r="K133" s="367">
        <f t="shared" si="126"/>
        <v>0</v>
      </c>
      <c r="L133" s="367">
        <f t="shared" si="126"/>
        <v>0</v>
      </c>
      <c r="M133" s="307">
        <f t="shared" si="126"/>
        <v>0</v>
      </c>
      <c r="N133" s="308">
        <f>SUM(O133:P133)</f>
        <v>0</v>
      </c>
      <c r="O133" s="369">
        <f t="shared" si="126"/>
        <v>0</v>
      </c>
      <c r="P133" s="368">
        <f t="shared" si="126"/>
        <v>0</v>
      </c>
      <c r="Q133" s="308">
        <f t="shared" si="126"/>
        <v>0</v>
      </c>
      <c r="R133" s="338"/>
      <c r="S133" s="339"/>
    </row>
    <row r="134" spans="2:19">
      <c r="B134" s="150" t="s">
        <v>444</v>
      </c>
      <c r="C134" s="210" t="s">
        <v>390</v>
      </c>
      <c r="D134" s="351">
        <f>SUM(D135:D140)</f>
        <v>3.3560499999999998</v>
      </c>
      <c r="E134" s="153">
        <f t="shared" si="67"/>
        <v>1.1608412503549999</v>
      </c>
      <c r="F134" s="154">
        <f>SUM(F135:F140)</f>
        <v>7.9442401969999993E-2</v>
      </c>
      <c r="G134" s="155">
        <f>SUM(G135:G140)</f>
        <v>7.5473872844999998E-2</v>
      </c>
      <c r="H134" s="156">
        <f>SUM(H135:H140)</f>
        <v>1.0059249755399999</v>
      </c>
      <c r="I134" s="153">
        <f t="shared" si="101"/>
        <v>2.1885171215499999</v>
      </c>
      <c r="J134" s="154">
        <f t="shared" ref="J134:Q134" si="127">SUM(J135:J140)</f>
        <v>1.6677058174599999</v>
      </c>
      <c r="K134" s="155">
        <f t="shared" si="127"/>
        <v>0.47581002963999997</v>
      </c>
      <c r="L134" s="155">
        <f t="shared" si="127"/>
        <v>4.5001274449999996E-2</v>
      </c>
      <c r="M134" s="152">
        <f t="shared" si="127"/>
        <v>2.8291501500000001E-4</v>
      </c>
      <c r="N134" s="153">
        <f>SUM(O134:P134)</f>
        <v>6.1677486900000005E-3</v>
      </c>
      <c r="O134" s="158">
        <f t="shared" ref="O134:P134" si="128">SUM(O135:O140)</f>
        <v>6.1677486900000005E-3</v>
      </c>
      <c r="P134" s="156">
        <f t="shared" si="128"/>
        <v>0</v>
      </c>
      <c r="Q134" s="153">
        <f t="shared" si="127"/>
        <v>2.4096438999999997E-4</v>
      </c>
      <c r="R134" s="338"/>
      <c r="S134" s="339"/>
    </row>
    <row r="135" spans="2:19">
      <c r="B135" s="169" t="s">
        <v>445</v>
      </c>
      <c r="C135" s="370" t="s">
        <v>392</v>
      </c>
      <c r="D135" s="371">
        <v>0.22212000000000001</v>
      </c>
      <c r="E135" s="320">
        <f t="shared" si="67"/>
        <v>7.6830219612000011E-2</v>
      </c>
      <c r="F135" s="372">
        <f>IFERROR($D$135*F185/100, 0)</f>
        <v>5.2578913680000009E-3</v>
      </c>
      <c r="G135" s="373">
        <f>IFERROR($D$135*G185/100, 0)</f>
        <v>4.9952344680000002E-3</v>
      </c>
      <c r="H135" s="374">
        <f>IFERROR($D$135*H185/100, 0)</f>
        <v>6.6577093776000004E-2</v>
      </c>
      <c r="I135" s="320">
        <f t="shared" si="101"/>
        <v>0.14484689532000003</v>
      </c>
      <c r="J135" s="372">
        <f t="shared" ref="J135:Q135" si="129">IFERROR($D$135*J185/100, 0)</f>
        <v>0.11037702542400002</v>
      </c>
      <c r="K135" s="373">
        <f t="shared" si="129"/>
        <v>3.1491462816000002E-2</v>
      </c>
      <c r="L135" s="373">
        <f t="shared" si="129"/>
        <v>2.9784070800000003E-3</v>
      </c>
      <c r="M135" s="319">
        <f t="shared" si="129"/>
        <v>1.8724716000000001E-5</v>
      </c>
      <c r="N135" s="320">
        <f>SUM(O135:P135)</f>
        <v>4.0821213600000003E-4</v>
      </c>
      <c r="O135" s="375">
        <f t="shared" ref="O135:P135" si="130">IFERROR($D$135*O185/100, 0)</f>
        <v>4.0821213600000003E-4</v>
      </c>
      <c r="P135" s="374">
        <f t="shared" si="130"/>
        <v>0</v>
      </c>
      <c r="Q135" s="320">
        <f t="shared" si="129"/>
        <v>1.5948215999999998E-5</v>
      </c>
      <c r="R135" s="349"/>
      <c r="S135" s="350"/>
    </row>
    <row r="136" spans="2:19">
      <c r="B136" s="169" t="s">
        <v>446</v>
      </c>
      <c r="C136" s="370" t="s">
        <v>447</v>
      </c>
      <c r="D136" s="371">
        <v>0.66242000000000001</v>
      </c>
      <c r="E136" s="320">
        <f t="shared" si="67"/>
        <v>0.229127832142</v>
      </c>
      <c r="F136" s="372">
        <f>IFERROR($D$136*F185/100, 0)</f>
        <v>1.5680408787999998E-2</v>
      </c>
      <c r="G136" s="373">
        <f>IFERROR($D$136*G185/100, 0)</f>
        <v>1.4897097138E-2</v>
      </c>
      <c r="H136" s="374">
        <f>IFERROR($D$136*H185/100, 0)</f>
        <v>0.19855032621599999</v>
      </c>
      <c r="I136" s="320">
        <f t="shared" si="101"/>
        <v>0.43197136862000002</v>
      </c>
      <c r="J136" s="372">
        <f t="shared" ref="J136:Q136" si="131">IFERROR($D$136*J185/100, 0)</f>
        <v>0.329173190984</v>
      </c>
      <c r="K136" s="373">
        <f t="shared" si="131"/>
        <v>9.3915787856000008E-2</v>
      </c>
      <c r="L136" s="373">
        <f t="shared" si="131"/>
        <v>8.8823897799999996E-3</v>
      </c>
      <c r="M136" s="319">
        <f t="shared" si="131"/>
        <v>5.5842006000000001E-5</v>
      </c>
      <c r="N136" s="320">
        <f t="shared" ref="N136:N140" si="132">SUM(O136:P136)</f>
        <v>1.2173954760000001E-3</v>
      </c>
      <c r="O136" s="375">
        <f t="shared" ref="O136:P136" si="133">IFERROR($D$136*O185/100, 0)</f>
        <v>1.2173954760000001E-3</v>
      </c>
      <c r="P136" s="374">
        <f t="shared" si="133"/>
        <v>0</v>
      </c>
      <c r="Q136" s="320">
        <f t="shared" si="131"/>
        <v>4.7561755999999995E-5</v>
      </c>
      <c r="R136" s="349"/>
      <c r="S136" s="350"/>
    </row>
    <row r="137" spans="2:19">
      <c r="B137" s="269" t="s">
        <v>448</v>
      </c>
      <c r="C137" s="270" t="s">
        <v>396</v>
      </c>
      <c r="D137" s="348">
        <v>0</v>
      </c>
      <c r="E137" s="212">
        <f t="shared" si="67"/>
        <v>0</v>
      </c>
      <c r="F137" s="215">
        <f>IFERROR($D$137*F185/100, 0)</f>
        <v>0</v>
      </c>
      <c r="G137" s="216">
        <f>IFERROR($D$137*G185/100, 0)</f>
        <v>0</v>
      </c>
      <c r="H137" s="217">
        <f>IFERROR($D$137*H185/100, 0)</f>
        <v>0</v>
      </c>
      <c r="I137" s="212">
        <f t="shared" si="101"/>
        <v>0</v>
      </c>
      <c r="J137" s="215">
        <f t="shared" ref="J137:Q137" si="134">IFERROR($D$137*J185/100, 0)</f>
        <v>0</v>
      </c>
      <c r="K137" s="216">
        <f t="shared" si="134"/>
        <v>0</v>
      </c>
      <c r="L137" s="216">
        <f t="shared" si="134"/>
        <v>0</v>
      </c>
      <c r="M137" s="214">
        <f t="shared" si="134"/>
        <v>0</v>
      </c>
      <c r="N137" s="320">
        <f t="shared" si="132"/>
        <v>0</v>
      </c>
      <c r="O137" s="219">
        <f t="shared" ref="O137:P137" si="135">IFERROR($D$137*O185/100, 0)</f>
        <v>0</v>
      </c>
      <c r="P137" s="217">
        <f t="shared" si="135"/>
        <v>0</v>
      </c>
      <c r="Q137" s="212">
        <f t="shared" si="134"/>
        <v>0</v>
      </c>
      <c r="R137" s="349"/>
      <c r="S137" s="350"/>
    </row>
    <row r="138" spans="2:19">
      <c r="B138" s="272" t="s">
        <v>449</v>
      </c>
      <c r="C138" s="260" t="s">
        <v>450</v>
      </c>
      <c r="D138" s="355">
        <v>0</v>
      </c>
      <c r="E138" s="222">
        <f t="shared" si="67"/>
        <v>0</v>
      </c>
      <c r="F138" s="223">
        <f>IFERROR($D$138*F185/100, 0)</f>
        <v>0</v>
      </c>
      <c r="G138" s="224">
        <f>IFERROR($D$138*G185/100, 0)</f>
        <v>0</v>
      </c>
      <c r="H138" s="225">
        <f>IFERROR($D$138*H185/100, 0)</f>
        <v>0</v>
      </c>
      <c r="I138" s="222">
        <f t="shared" si="101"/>
        <v>0</v>
      </c>
      <c r="J138" s="223">
        <f t="shared" ref="J138:Q138" si="136">IFERROR($D$138*J185/100, 0)</f>
        <v>0</v>
      </c>
      <c r="K138" s="224">
        <f t="shared" si="136"/>
        <v>0</v>
      </c>
      <c r="L138" s="224">
        <f t="shared" si="136"/>
        <v>0</v>
      </c>
      <c r="M138" s="221">
        <f t="shared" si="136"/>
        <v>0</v>
      </c>
      <c r="N138" s="320">
        <f t="shared" si="132"/>
        <v>0</v>
      </c>
      <c r="O138" s="227">
        <f t="shared" ref="O138:P138" si="137">IFERROR($D$138*O185/100, 0)</f>
        <v>0</v>
      </c>
      <c r="P138" s="225">
        <f t="shared" si="137"/>
        <v>0</v>
      </c>
      <c r="Q138" s="222">
        <f t="shared" si="136"/>
        <v>0</v>
      </c>
      <c r="R138" s="349"/>
      <c r="S138" s="350"/>
    </row>
    <row r="139" spans="2:19">
      <c r="B139" s="272" t="s">
        <v>451</v>
      </c>
      <c r="C139" s="376" t="s">
        <v>400</v>
      </c>
      <c r="D139" s="355">
        <v>2.4715099999999999</v>
      </c>
      <c r="E139" s="222">
        <f t="shared" si="67"/>
        <v>0.85488319860099993</v>
      </c>
      <c r="F139" s="223">
        <f>IFERROR($D$139*F185/100, 0)</f>
        <v>5.8504101814000002E-2</v>
      </c>
      <c r="G139" s="224">
        <f>IFERROR($D$139*G185/100, 0)</f>
        <v>5.5581541238999999E-2</v>
      </c>
      <c r="H139" s="225">
        <f>IFERROR($D$139*H185/100, 0)</f>
        <v>0.74079755554799986</v>
      </c>
      <c r="I139" s="222">
        <f t="shared" si="101"/>
        <v>1.6116988576099998</v>
      </c>
      <c r="J139" s="223">
        <f t="shared" ref="J139:Q139" si="138">IFERROR($D$139*J185/100, 0)</f>
        <v>1.2281556010519998</v>
      </c>
      <c r="K139" s="224">
        <f t="shared" si="138"/>
        <v>0.35040277896799998</v>
      </c>
      <c r="L139" s="224">
        <f t="shared" si="138"/>
        <v>3.3140477589999995E-2</v>
      </c>
      <c r="M139" s="221">
        <f t="shared" si="138"/>
        <v>2.0834829299999999E-4</v>
      </c>
      <c r="N139" s="320">
        <f t="shared" si="132"/>
        <v>4.5421410780000001E-3</v>
      </c>
      <c r="O139" s="227">
        <f t="shared" ref="O139:P139" si="139">IFERROR($D$139*O185/100, 0)</f>
        <v>4.5421410780000001E-3</v>
      </c>
      <c r="P139" s="225">
        <f t="shared" si="139"/>
        <v>0</v>
      </c>
      <c r="Q139" s="222">
        <f t="shared" si="138"/>
        <v>1.7745441799999997E-4</v>
      </c>
      <c r="R139" s="349"/>
      <c r="S139" s="350"/>
    </row>
    <row r="140" spans="2:19">
      <c r="B140" s="272" t="s">
        <v>452</v>
      </c>
      <c r="C140" s="376" t="s">
        <v>404</v>
      </c>
      <c r="D140" s="355">
        <v>0</v>
      </c>
      <c r="E140" s="222">
        <f t="shared" si="67"/>
        <v>0</v>
      </c>
      <c r="F140" s="223">
        <f>IFERROR($D$140*F185/100, 0)</f>
        <v>0</v>
      </c>
      <c r="G140" s="224">
        <f>IFERROR($D$140*G185/100, 0)</f>
        <v>0</v>
      </c>
      <c r="H140" s="225">
        <f>IFERROR($D$140*H185/100, 0)</f>
        <v>0</v>
      </c>
      <c r="I140" s="222">
        <f t="shared" si="101"/>
        <v>0</v>
      </c>
      <c r="J140" s="223">
        <f t="shared" ref="J140:Q140" si="140">IFERROR($D$140*J185/100, 0)</f>
        <v>0</v>
      </c>
      <c r="K140" s="224">
        <f t="shared" si="140"/>
        <v>0</v>
      </c>
      <c r="L140" s="224">
        <f t="shared" si="140"/>
        <v>0</v>
      </c>
      <c r="M140" s="221">
        <f t="shared" si="140"/>
        <v>0</v>
      </c>
      <c r="N140" s="320">
        <f t="shared" si="132"/>
        <v>0</v>
      </c>
      <c r="O140" s="227">
        <f t="shared" ref="O140:P140" si="141">IFERROR($D$140*O185/100, 0)</f>
        <v>0</v>
      </c>
      <c r="P140" s="225">
        <f t="shared" si="141"/>
        <v>0</v>
      </c>
      <c r="Q140" s="222">
        <f t="shared" si="140"/>
        <v>0</v>
      </c>
      <c r="R140" s="349"/>
      <c r="S140" s="350"/>
    </row>
    <row r="141" spans="2:19" ht="119.25" customHeight="1" thickBot="1">
      <c r="B141" s="122" t="s">
        <v>63</v>
      </c>
      <c r="C141" s="123" t="s">
        <v>453</v>
      </c>
      <c r="D141" s="377" t="s">
        <v>249</v>
      </c>
      <c r="E141" s="378" t="s">
        <v>250</v>
      </c>
      <c r="F141" s="379" t="s">
        <v>251</v>
      </c>
      <c r="G141" s="380" t="s">
        <v>252</v>
      </c>
      <c r="H141" s="381" t="s">
        <v>253</v>
      </c>
      <c r="I141" s="382" t="s">
        <v>254</v>
      </c>
      <c r="J141" s="379" t="s">
        <v>255</v>
      </c>
      <c r="K141" s="380" t="s">
        <v>256</v>
      </c>
      <c r="L141" s="383" t="s">
        <v>257</v>
      </c>
      <c r="M141" s="378" t="s">
        <v>258</v>
      </c>
      <c r="N141" s="382" t="s">
        <v>259</v>
      </c>
      <c r="O141" s="384" t="s">
        <v>260</v>
      </c>
      <c r="P141" s="385" t="s">
        <v>261</v>
      </c>
      <c r="Q141" s="386" t="s">
        <v>262</v>
      </c>
    </row>
    <row r="142" spans="2:19">
      <c r="B142" s="387" t="s">
        <v>65</v>
      </c>
      <c r="C142" s="388" t="s">
        <v>454</v>
      </c>
      <c r="D142" s="389"/>
      <c r="E142" s="390"/>
      <c r="F142" s="391"/>
      <c r="G142" s="391"/>
      <c r="H142" s="391"/>
      <c r="I142" s="390"/>
      <c r="J142" s="391"/>
      <c r="K142" s="391"/>
      <c r="L142" s="392"/>
      <c r="M142" s="390"/>
      <c r="N142" s="393"/>
      <c r="O142" s="394"/>
      <c r="P142" s="395"/>
      <c r="Q142" s="396"/>
    </row>
    <row r="143" spans="2:19" ht="25.5">
      <c r="B143" s="387">
        <v>1</v>
      </c>
      <c r="C143" s="388" t="s">
        <v>267</v>
      </c>
      <c r="D143" s="397">
        <f>E143+I143+M143+N143+Q143</f>
        <v>100.00000000000001</v>
      </c>
      <c r="E143" s="398">
        <f>SUM(F143:H143)</f>
        <v>34.589509999999997</v>
      </c>
      <c r="F143" s="399">
        <v>2.36714</v>
      </c>
      <c r="G143" s="399">
        <v>2.2488899999999998</v>
      </c>
      <c r="H143" s="399">
        <v>29.973479999999999</v>
      </c>
      <c r="I143" s="398">
        <f>SUM(J143:L143)</f>
        <v>65.211100000000002</v>
      </c>
      <c r="J143" s="399">
        <v>49.692520000000002</v>
      </c>
      <c r="K143" s="399">
        <v>14.177680000000001</v>
      </c>
      <c r="L143" s="400">
        <v>1.3409</v>
      </c>
      <c r="M143" s="401">
        <v>8.43E-3</v>
      </c>
      <c r="N143" s="402">
        <f>SUM(O143:P143)</f>
        <v>0.18378</v>
      </c>
      <c r="O143" s="403">
        <v>0.18378</v>
      </c>
      <c r="P143" s="404">
        <v>0</v>
      </c>
      <c r="Q143" s="405">
        <v>7.1799999999999998E-3</v>
      </c>
    </row>
    <row r="144" spans="2:19">
      <c r="B144" s="406">
        <v>2</v>
      </c>
      <c r="C144" s="170" t="s">
        <v>302</v>
      </c>
      <c r="D144" s="407">
        <f>E144+I144+M144+N144+Q144</f>
        <v>100.00000000000001</v>
      </c>
      <c r="E144" s="408">
        <f>SUM(F144:H144)</f>
        <v>34.589509999999997</v>
      </c>
      <c r="F144" s="409">
        <v>2.36714</v>
      </c>
      <c r="G144" s="409">
        <v>2.2488899999999998</v>
      </c>
      <c r="H144" s="409">
        <v>29.973479999999999</v>
      </c>
      <c r="I144" s="408">
        <f>SUM(J144:L144)</f>
        <v>65.211100000000002</v>
      </c>
      <c r="J144" s="409">
        <v>49.692520000000002</v>
      </c>
      <c r="K144" s="409">
        <v>14.177680000000001</v>
      </c>
      <c r="L144" s="410">
        <v>1.3409</v>
      </c>
      <c r="M144" s="411">
        <v>8.43E-3</v>
      </c>
      <c r="N144" s="402">
        <f>SUM(O144:P144)</f>
        <v>0.18378</v>
      </c>
      <c r="O144" s="412">
        <v>0.18378</v>
      </c>
      <c r="P144" s="413">
        <v>0</v>
      </c>
      <c r="Q144" s="414">
        <v>7.1799999999999998E-3</v>
      </c>
    </row>
    <row r="145" spans="2:17">
      <c r="B145" s="415" t="s">
        <v>69</v>
      </c>
      <c r="C145" s="416" t="s">
        <v>455</v>
      </c>
      <c r="D145" s="389"/>
      <c r="E145" s="390"/>
      <c r="F145" s="391"/>
      <c r="G145" s="391"/>
      <c r="H145" s="391"/>
      <c r="I145" s="390"/>
      <c r="J145" s="391"/>
      <c r="K145" s="391"/>
      <c r="L145" s="392"/>
      <c r="M145" s="390"/>
      <c r="N145" s="396"/>
      <c r="O145" s="394"/>
      <c r="P145" s="395"/>
      <c r="Q145" s="396"/>
    </row>
    <row r="146" spans="2:17" ht="28.5" customHeight="1">
      <c r="B146" s="417">
        <v>1</v>
      </c>
      <c r="C146" s="418" t="s">
        <v>311</v>
      </c>
      <c r="D146" s="397">
        <f>E146+I146+M146+N146+Q146</f>
        <v>100.00000000000001</v>
      </c>
      <c r="E146" s="398">
        <f>SUM(F146:H146)</f>
        <v>34.589509999999997</v>
      </c>
      <c r="F146" s="399">
        <v>2.36714</v>
      </c>
      <c r="G146" s="399">
        <v>2.2488899999999998</v>
      </c>
      <c r="H146" s="399">
        <v>29.973479999999999</v>
      </c>
      <c r="I146" s="398">
        <f>SUM(J146:L146)</f>
        <v>65.211100000000002</v>
      </c>
      <c r="J146" s="399">
        <v>49.692520000000002</v>
      </c>
      <c r="K146" s="399">
        <v>14.177680000000001</v>
      </c>
      <c r="L146" s="400">
        <v>1.3409</v>
      </c>
      <c r="M146" s="401">
        <v>8.43E-3</v>
      </c>
      <c r="N146" s="402">
        <f>SUM(O146:P146)</f>
        <v>0.18378</v>
      </c>
      <c r="O146" s="419">
        <v>0.18378</v>
      </c>
      <c r="P146" s="420">
        <v>0</v>
      </c>
      <c r="Q146" s="405">
        <v>7.1799999999999998E-3</v>
      </c>
    </row>
    <row r="147" spans="2:17">
      <c r="B147" s="421">
        <v>2</v>
      </c>
      <c r="C147" s="422" t="s">
        <v>313</v>
      </c>
      <c r="D147" s="407">
        <f>E147+I147+M147+N147+Q147</f>
        <v>100.00000000000001</v>
      </c>
      <c r="E147" s="408">
        <f>SUM(F147:H147)</f>
        <v>34.589509999999997</v>
      </c>
      <c r="F147" s="409">
        <v>2.36714</v>
      </c>
      <c r="G147" s="409">
        <v>2.2488899999999998</v>
      </c>
      <c r="H147" s="409">
        <v>29.973479999999999</v>
      </c>
      <c r="I147" s="408">
        <f>SUM(J147:L147)</f>
        <v>65.211100000000002</v>
      </c>
      <c r="J147" s="409">
        <v>49.692520000000002</v>
      </c>
      <c r="K147" s="409">
        <v>14.177680000000001</v>
      </c>
      <c r="L147" s="410">
        <v>1.3409</v>
      </c>
      <c r="M147" s="411">
        <v>8.43E-3</v>
      </c>
      <c r="N147" s="402">
        <f>SUM(O147:P147)</f>
        <v>0.18378</v>
      </c>
      <c r="O147" s="423">
        <v>0.18378</v>
      </c>
      <c r="P147" s="424">
        <v>0</v>
      </c>
      <c r="Q147" s="414">
        <v>7.1799999999999998E-3</v>
      </c>
    </row>
    <row r="148" spans="2:17">
      <c r="B148" s="415" t="s">
        <v>71</v>
      </c>
      <c r="C148" s="416" t="s">
        <v>456</v>
      </c>
      <c r="D148" s="389"/>
      <c r="E148" s="390"/>
      <c r="F148" s="391"/>
      <c r="G148" s="391"/>
      <c r="H148" s="391"/>
      <c r="I148" s="390"/>
      <c r="J148" s="391"/>
      <c r="K148" s="391"/>
      <c r="L148" s="392"/>
      <c r="M148" s="390"/>
      <c r="N148" s="396"/>
      <c r="O148" s="394"/>
      <c r="P148" s="395"/>
      <c r="Q148" s="396"/>
    </row>
    <row r="149" spans="2:17">
      <c r="B149" s="421">
        <v>1</v>
      </c>
      <c r="C149" s="422" t="s">
        <v>317</v>
      </c>
      <c r="D149" s="407">
        <f>E149+I149+M149+N149+Q149</f>
        <v>100.00000000000001</v>
      </c>
      <c r="E149" s="408">
        <f>SUM(F149:H149)</f>
        <v>34.589509999999997</v>
      </c>
      <c r="F149" s="409">
        <v>2.36714</v>
      </c>
      <c r="G149" s="409">
        <v>2.2488899999999998</v>
      </c>
      <c r="H149" s="409">
        <v>29.973479999999999</v>
      </c>
      <c r="I149" s="408">
        <f>SUM(J149:L149)</f>
        <v>65.211100000000002</v>
      </c>
      <c r="J149" s="409">
        <v>49.692520000000002</v>
      </c>
      <c r="K149" s="409">
        <v>14.177680000000001</v>
      </c>
      <c r="L149" s="410">
        <v>1.3409</v>
      </c>
      <c r="M149" s="411">
        <v>8.43E-3</v>
      </c>
      <c r="N149" s="425">
        <f>SUM(O149:P149)</f>
        <v>0.18378</v>
      </c>
      <c r="O149" s="412">
        <v>0.18378</v>
      </c>
      <c r="P149" s="413">
        <v>0</v>
      </c>
      <c r="Q149" s="414">
        <v>7.1799999999999998E-3</v>
      </c>
    </row>
    <row r="150" spans="2:17">
      <c r="B150" s="415" t="s">
        <v>73</v>
      </c>
      <c r="C150" s="416" t="s">
        <v>457</v>
      </c>
      <c r="D150" s="389"/>
      <c r="E150" s="390"/>
      <c r="F150" s="391"/>
      <c r="G150" s="391"/>
      <c r="H150" s="391"/>
      <c r="I150" s="390"/>
      <c r="J150" s="391"/>
      <c r="K150" s="391"/>
      <c r="L150" s="392"/>
      <c r="M150" s="390"/>
      <c r="N150" s="396"/>
      <c r="O150" s="394"/>
      <c r="P150" s="395"/>
      <c r="Q150" s="396"/>
    </row>
    <row r="151" spans="2:17">
      <c r="B151" s="417">
        <v>1</v>
      </c>
      <c r="C151" s="418" t="s">
        <v>273</v>
      </c>
      <c r="D151" s="397">
        <f t="shared" ref="D151:D156" si="142">E151+I151+M151+N151+Q151</f>
        <v>100.00000000000001</v>
      </c>
      <c r="E151" s="398">
        <f t="shared" ref="E151:E156" si="143">SUM(F151:H151)</f>
        <v>34.589509999999997</v>
      </c>
      <c r="F151" s="399">
        <v>2.36714</v>
      </c>
      <c r="G151" s="399">
        <v>2.2488899999999998</v>
      </c>
      <c r="H151" s="399">
        <v>29.973479999999999</v>
      </c>
      <c r="I151" s="398">
        <f t="shared" ref="I151:I156" si="144">SUM(J151:L151)</f>
        <v>65.211100000000002</v>
      </c>
      <c r="J151" s="399">
        <v>49.692520000000002</v>
      </c>
      <c r="K151" s="399">
        <v>14.177680000000001</v>
      </c>
      <c r="L151" s="400">
        <v>1.3409</v>
      </c>
      <c r="M151" s="401">
        <v>8.43E-3</v>
      </c>
      <c r="N151" s="402">
        <f>SUM(O151:P151)</f>
        <v>0.18378</v>
      </c>
      <c r="O151" s="419">
        <v>0.18378</v>
      </c>
      <c r="P151" s="420">
        <v>0</v>
      </c>
      <c r="Q151" s="405">
        <v>7.1799999999999998E-3</v>
      </c>
    </row>
    <row r="152" spans="2:17">
      <c r="B152" s="417">
        <v>2</v>
      </c>
      <c r="C152" s="418" t="s">
        <v>277</v>
      </c>
      <c r="D152" s="397">
        <f t="shared" si="142"/>
        <v>100.00000000000001</v>
      </c>
      <c r="E152" s="398">
        <f t="shared" si="143"/>
        <v>34.589509999999997</v>
      </c>
      <c r="F152" s="399">
        <v>2.36714</v>
      </c>
      <c r="G152" s="399">
        <v>2.2488899999999998</v>
      </c>
      <c r="H152" s="399">
        <v>29.973479999999999</v>
      </c>
      <c r="I152" s="398">
        <f t="shared" si="144"/>
        <v>65.211100000000002</v>
      </c>
      <c r="J152" s="399">
        <v>49.692520000000002</v>
      </c>
      <c r="K152" s="399">
        <v>14.177680000000001</v>
      </c>
      <c r="L152" s="400">
        <v>1.3409</v>
      </c>
      <c r="M152" s="401">
        <v>8.43E-3</v>
      </c>
      <c r="N152" s="402">
        <f t="shared" ref="N152:N155" si="145">SUM(O152:P152)</f>
        <v>0.18378</v>
      </c>
      <c r="O152" s="419">
        <v>0.18378</v>
      </c>
      <c r="P152" s="420">
        <v>0</v>
      </c>
      <c r="Q152" s="405">
        <v>7.1799999999999998E-3</v>
      </c>
    </row>
    <row r="153" spans="2:17">
      <c r="B153" s="417">
        <v>3</v>
      </c>
      <c r="C153" s="418" t="s">
        <v>458</v>
      </c>
      <c r="D153" s="397">
        <f t="shared" si="142"/>
        <v>100.00000000000001</v>
      </c>
      <c r="E153" s="398">
        <f t="shared" si="143"/>
        <v>34.589509999999997</v>
      </c>
      <c r="F153" s="399">
        <v>2.36714</v>
      </c>
      <c r="G153" s="399">
        <v>2.2488899999999998</v>
      </c>
      <c r="H153" s="399">
        <v>29.973479999999999</v>
      </c>
      <c r="I153" s="398">
        <f t="shared" si="144"/>
        <v>65.211100000000002</v>
      </c>
      <c r="J153" s="399">
        <v>49.692520000000002</v>
      </c>
      <c r="K153" s="399">
        <v>14.177680000000001</v>
      </c>
      <c r="L153" s="400">
        <v>1.3409</v>
      </c>
      <c r="M153" s="401">
        <v>8.43E-3</v>
      </c>
      <c r="N153" s="402">
        <f t="shared" si="145"/>
        <v>0.18378</v>
      </c>
      <c r="O153" s="419">
        <v>0.18378</v>
      </c>
      <c r="P153" s="420">
        <v>0</v>
      </c>
      <c r="Q153" s="405">
        <v>7.1799999999999998E-3</v>
      </c>
    </row>
    <row r="154" spans="2:17">
      <c r="B154" s="417">
        <v>4</v>
      </c>
      <c r="C154" s="418" t="s">
        <v>459</v>
      </c>
      <c r="D154" s="397">
        <f t="shared" si="142"/>
        <v>100.00000000000001</v>
      </c>
      <c r="E154" s="398">
        <f t="shared" si="143"/>
        <v>34.589509999999997</v>
      </c>
      <c r="F154" s="399">
        <v>2.36714</v>
      </c>
      <c r="G154" s="399">
        <v>2.2488899999999998</v>
      </c>
      <c r="H154" s="399">
        <v>29.973479999999999</v>
      </c>
      <c r="I154" s="398">
        <f t="shared" si="144"/>
        <v>65.211100000000002</v>
      </c>
      <c r="J154" s="399">
        <v>49.692520000000002</v>
      </c>
      <c r="K154" s="399">
        <v>14.177680000000001</v>
      </c>
      <c r="L154" s="400">
        <v>1.3409</v>
      </c>
      <c r="M154" s="401">
        <v>8.43E-3</v>
      </c>
      <c r="N154" s="402">
        <f t="shared" si="145"/>
        <v>0.18378</v>
      </c>
      <c r="O154" s="419">
        <v>0.18378</v>
      </c>
      <c r="P154" s="420">
        <v>0</v>
      </c>
      <c r="Q154" s="405">
        <v>7.1799999999999998E-3</v>
      </c>
    </row>
    <row r="155" spans="2:17" ht="30" customHeight="1">
      <c r="B155" s="421">
        <v>5</v>
      </c>
      <c r="C155" s="422" t="s">
        <v>326</v>
      </c>
      <c r="D155" s="407">
        <f t="shared" si="142"/>
        <v>100.00000000000001</v>
      </c>
      <c r="E155" s="408">
        <f t="shared" si="143"/>
        <v>34.589509999999997</v>
      </c>
      <c r="F155" s="409">
        <v>2.36714</v>
      </c>
      <c r="G155" s="409">
        <v>2.2488899999999998</v>
      </c>
      <c r="H155" s="409">
        <v>29.973479999999999</v>
      </c>
      <c r="I155" s="408">
        <f t="shared" si="144"/>
        <v>65.211100000000002</v>
      </c>
      <c r="J155" s="409">
        <v>49.692520000000002</v>
      </c>
      <c r="K155" s="409">
        <v>14.177680000000001</v>
      </c>
      <c r="L155" s="410">
        <v>1.3409</v>
      </c>
      <c r="M155" s="411">
        <v>8.43E-3</v>
      </c>
      <c r="N155" s="402">
        <f t="shared" si="145"/>
        <v>0.18378</v>
      </c>
      <c r="O155" s="423">
        <v>0.18378</v>
      </c>
      <c r="P155" s="424">
        <v>0</v>
      </c>
      <c r="Q155" s="414">
        <v>7.1799999999999998E-3</v>
      </c>
    </row>
    <row r="156" spans="2:17">
      <c r="B156" s="426" t="s">
        <v>75</v>
      </c>
      <c r="C156" s="427" t="s">
        <v>328</v>
      </c>
      <c r="D156" s="428">
        <f t="shared" si="142"/>
        <v>100.00000000000001</v>
      </c>
      <c r="E156" s="429">
        <f t="shared" si="143"/>
        <v>34.589509999999997</v>
      </c>
      <c r="F156" s="430">
        <v>2.36714</v>
      </c>
      <c r="G156" s="430">
        <v>2.2488899999999998</v>
      </c>
      <c r="H156" s="430">
        <v>29.973479999999999</v>
      </c>
      <c r="I156" s="429">
        <f t="shared" si="144"/>
        <v>65.211100000000002</v>
      </c>
      <c r="J156" s="430">
        <v>49.692520000000002</v>
      </c>
      <c r="K156" s="430">
        <v>14.177680000000001</v>
      </c>
      <c r="L156" s="431">
        <v>1.3409</v>
      </c>
      <c r="M156" s="432">
        <v>8.43E-3</v>
      </c>
      <c r="N156" s="429">
        <f>SUM(O156:P156)</f>
        <v>0.18378</v>
      </c>
      <c r="O156" s="433">
        <v>0.18378</v>
      </c>
      <c r="P156" s="434">
        <v>0</v>
      </c>
      <c r="Q156" s="435">
        <v>7.1799999999999998E-3</v>
      </c>
    </row>
    <row r="157" spans="2:17">
      <c r="B157" s="415" t="s">
        <v>460</v>
      </c>
      <c r="C157" s="416" t="s">
        <v>461</v>
      </c>
      <c r="D157" s="389"/>
      <c r="E157" s="390"/>
      <c r="F157" s="391"/>
      <c r="G157" s="391"/>
      <c r="H157" s="391"/>
      <c r="I157" s="390"/>
      <c r="J157" s="391"/>
      <c r="K157" s="391"/>
      <c r="L157" s="392"/>
      <c r="M157" s="390"/>
      <c r="N157" s="396"/>
      <c r="O157" s="394"/>
      <c r="P157" s="395"/>
      <c r="Q157" s="396"/>
    </row>
    <row r="158" spans="2:17">
      <c r="B158" s="417">
        <v>1</v>
      </c>
      <c r="C158" s="418" t="s">
        <v>281</v>
      </c>
      <c r="D158" s="397">
        <f>E158+I158+M158+N158+Q158</f>
        <v>100.00000000000001</v>
      </c>
      <c r="E158" s="398">
        <f>SUM(F158:H158)</f>
        <v>34.589509999999997</v>
      </c>
      <c r="F158" s="399">
        <v>2.36714</v>
      </c>
      <c r="G158" s="399">
        <v>2.2488899999999998</v>
      </c>
      <c r="H158" s="399">
        <v>29.973479999999999</v>
      </c>
      <c r="I158" s="398">
        <f>SUM(J158:L158)</f>
        <v>65.211100000000002</v>
      </c>
      <c r="J158" s="399">
        <v>49.692520000000002</v>
      </c>
      <c r="K158" s="399">
        <v>14.177680000000001</v>
      </c>
      <c r="L158" s="400">
        <v>1.3409</v>
      </c>
      <c r="M158" s="401">
        <v>8.43E-3</v>
      </c>
      <c r="N158" s="398">
        <f>SUM(O158:P158)</f>
        <v>0.18378</v>
      </c>
      <c r="O158" s="403">
        <v>0.18378</v>
      </c>
      <c r="P158" s="404">
        <v>0</v>
      </c>
      <c r="Q158" s="405">
        <v>7.1799999999999998E-3</v>
      </c>
    </row>
    <row r="159" spans="2:17">
      <c r="B159" s="417">
        <v>2</v>
      </c>
      <c r="C159" s="436" t="s">
        <v>334</v>
      </c>
      <c r="D159" s="397">
        <f>E159+I159+M159+N159+Q159</f>
        <v>100.00000000000001</v>
      </c>
      <c r="E159" s="398">
        <f>SUM(F159:H159)</f>
        <v>34.589509999999997</v>
      </c>
      <c r="F159" s="399">
        <v>2.36714</v>
      </c>
      <c r="G159" s="399">
        <v>2.2488899999999998</v>
      </c>
      <c r="H159" s="399">
        <v>29.973479999999999</v>
      </c>
      <c r="I159" s="398">
        <f>SUM(J159:L159)</f>
        <v>65.211100000000002</v>
      </c>
      <c r="J159" s="399">
        <v>49.692520000000002</v>
      </c>
      <c r="K159" s="399">
        <v>14.177680000000001</v>
      </c>
      <c r="L159" s="400">
        <v>1.3409</v>
      </c>
      <c r="M159" s="401">
        <v>8.43E-3</v>
      </c>
      <c r="N159" s="398">
        <f t="shared" ref="N159:N161" si="146">SUM(O159:P159)</f>
        <v>0.18378</v>
      </c>
      <c r="O159" s="403">
        <v>0.18378</v>
      </c>
      <c r="P159" s="404">
        <v>0</v>
      </c>
      <c r="Q159" s="405">
        <v>7.1799999999999998E-3</v>
      </c>
    </row>
    <row r="160" spans="2:17">
      <c r="B160" s="417">
        <v>3</v>
      </c>
      <c r="C160" s="418" t="s">
        <v>462</v>
      </c>
      <c r="D160" s="397">
        <f>E160+I160+M160+N160+Q160</f>
        <v>100.00000000000001</v>
      </c>
      <c r="E160" s="398">
        <f>SUM(F160:H160)</f>
        <v>34.589509999999997</v>
      </c>
      <c r="F160" s="399">
        <v>2.36714</v>
      </c>
      <c r="G160" s="399">
        <v>2.2488899999999998</v>
      </c>
      <c r="H160" s="399">
        <v>29.973479999999999</v>
      </c>
      <c r="I160" s="398">
        <f>SUM(J160:L160)</f>
        <v>65.211100000000002</v>
      </c>
      <c r="J160" s="399">
        <v>49.692520000000002</v>
      </c>
      <c r="K160" s="399">
        <v>14.177680000000001</v>
      </c>
      <c r="L160" s="400">
        <v>1.3409</v>
      </c>
      <c r="M160" s="401">
        <v>8.43E-3</v>
      </c>
      <c r="N160" s="398">
        <f t="shared" si="146"/>
        <v>0.18378</v>
      </c>
      <c r="O160" s="403">
        <v>0.18378</v>
      </c>
      <c r="P160" s="404">
        <v>0</v>
      </c>
      <c r="Q160" s="405">
        <v>7.1799999999999998E-3</v>
      </c>
    </row>
    <row r="161" spans="2:17">
      <c r="B161" s="421">
        <v>4</v>
      </c>
      <c r="C161" s="422" t="s">
        <v>463</v>
      </c>
      <c r="D161" s="407">
        <f>E161+I161+M161+N161+Q161</f>
        <v>100.00000000000001</v>
      </c>
      <c r="E161" s="408">
        <f>SUM(F161:H161)</f>
        <v>34.589509999999997</v>
      </c>
      <c r="F161" s="409">
        <v>2.36714</v>
      </c>
      <c r="G161" s="409">
        <v>2.2488899999999998</v>
      </c>
      <c r="H161" s="409">
        <v>29.973479999999999</v>
      </c>
      <c r="I161" s="408">
        <f>SUM(J161:L161)</f>
        <v>65.211100000000002</v>
      </c>
      <c r="J161" s="409">
        <v>49.692520000000002</v>
      </c>
      <c r="K161" s="409">
        <v>14.177680000000001</v>
      </c>
      <c r="L161" s="410">
        <v>1.3409</v>
      </c>
      <c r="M161" s="411">
        <v>8.43E-3</v>
      </c>
      <c r="N161" s="398">
        <f t="shared" si="146"/>
        <v>0.18378</v>
      </c>
      <c r="O161" s="412">
        <v>0.18378</v>
      </c>
      <c r="P161" s="413">
        <v>0</v>
      </c>
      <c r="Q161" s="414">
        <v>7.1799999999999998E-3</v>
      </c>
    </row>
    <row r="162" spans="2:17">
      <c r="B162" s="415" t="s">
        <v>464</v>
      </c>
      <c r="C162" s="416" t="s">
        <v>465</v>
      </c>
      <c r="D162" s="389"/>
      <c r="E162" s="390"/>
      <c r="F162" s="391"/>
      <c r="G162" s="391"/>
      <c r="H162" s="391"/>
      <c r="I162" s="390"/>
      <c r="J162" s="391"/>
      <c r="K162" s="391"/>
      <c r="L162" s="392"/>
      <c r="M162" s="390"/>
      <c r="N162" s="396"/>
      <c r="O162" s="394"/>
      <c r="P162" s="395"/>
      <c r="Q162" s="396"/>
    </row>
    <row r="163" spans="2:17">
      <c r="B163" s="417">
        <v>1</v>
      </c>
      <c r="C163" s="418" t="s">
        <v>466</v>
      </c>
      <c r="D163" s="397">
        <f>E163+I163+M163+N163+Q163</f>
        <v>100.00000000000001</v>
      </c>
      <c r="E163" s="398">
        <f>SUM(F163:H163)</f>
        <v>34.589509999999997</v>
      </c>
      <c r="F163" s="399">
        <v>2.36714</v>
      </c>
      <c r="G163" s="399">
        <v>2.2488899999999998</v>
      </c>
      <c r="H163" s="399">
        <v>29.973479999999999</v>
      </c>
      <c r="I163" s="398">
        <f>SUM(J163:L163)</f>
        <v>65.211100000000002</v>
      </c>
      <c r="J163" s="399">
        <v>49.692520000000002</v>
      </c>
      <c r="K163" s="399">
        <v>14.177680000000001</v>
      </c>
      <c r="L163" s="400">
        <v>1.3409</v>
      </c>
      <c r="M163" s="401">
        <v>8.43E-3</v>
      </c>
      <c r="N163" s="398">
        <f>SUM(O163:P163)</f>
        <v>0.18378</v>
      </c>
      <c r="O163" s="403">
        <v>0.18378</v>
      </c>
      <c r="P163" s="404">
        <v>0</v>
      </c>
      <c r="Q163" s="405">
        <v>7.1799999999999998E-3</v>
      </c>
    </row>
    <row r="164" spans="2:17">
      <c r="B164" s="421">
        <v>2</v>
      </c>
      <c r="C164" s="422" t="s">
        <v>467</v>
      </c>
      <c r="D164" s="397">
        <f>E164+I164+M164+N164+Q164</f>
        <v>100.00000000000001</v>
      </c>
      <c r="E164" s="398">
        <f>SUM(F164:H164)</f>
        <v>34.589509999999997</v>
      </c>
      <c r="F164" s="437">
        <v>2.36714</v>
      </c>
      <c r="G164" s="437">
        <v>2.2488899999999998</v>
      </c>
      <c r="H164" s="437">
        <v>29.973479999999999</v>
      </c>
      <c r="I164" s="398">
        <f>SUM(J164:L164)</f>
        <v>65.211100000000002</v>
      </c>
      <c r="J164" s="437">
        <v>49.692520000000002</v>
      </c>
      <c r="K164" s="437">
        <v>14.177680000000001</v>
      </c>
      <c r="L164" s="438">
        <v>1.3409</v>
      </c>
      <c r="M164" s="439">
        <v>8.43E-3</v>
      </c>
      <c r="N164" s="398">
        <f t="shared" ref="N164:N165" si="147">SUM(O164:P164)</f>
        <v>0.18378</v>
      </c>
      <c r="O164" s="440">
        <v>0.18378</v>
      </c>
      <c r="P164" s="441">
        <v>0</v>
      </c>
      <c r="Q164" s="442">
        <v>7.1799999999999998E-3</v>
      </c>
    </row>
    <row r="165" spans="2:17">
      <c r="B165" s="421">
        <v>3</v>
      </c>
      <c r="C165" s="422" t="s">
        <v>350</v>
      </c>
      <c r="D165" s="407">
        <f>E165+I165+M165+N165+Q165</f>
        <v>100.00000000000001</v>
      </c>
      <c r="E165" s="408">
        <f>SUM(F165:H165)</f>
        <v>34.589509999999997</v>
      </c>
      <c r="F165" s="409">
        <v>2.36714</v>
      </c>
      <c r="G165" s="409">
        <v>2.2488899999999998</v>
      </c>
      <c r="H165" s="409">
        <v>29.973479999999999</v>
      </c>
      <c r="I165" s="408">
        <f>SUM(J165:L165)</f>
        <v>65.211100000000002</v>
      </c>
      <c r="J165" s="409">
        <v>49.692520000000002</v>
      </c>
      <c r="K165" s="409">
        <v>14.177680000000001</v>
      </c>
      <c r="L165" s="410">
        <v>1.3409</v>
      </c>
      <c r="M165" s="411">
        <v>8.43E-3</v>
      </c>
      <c r="N165" s="398">
        <f t="shared" si="147"/>
        <v>0.18378</v>
      </c>
      <c r="O165" s="412">
        <v>0.18378</v>
      </c>
      <c r="P165" s="413">
        <v>0</v>
      </c>
      <c r="Q165" s="414">
        <v>7.1799999999999998E-3</v>
      </c>
    </row>
    <row r="166" spans="2:17">
      <c r="B166" s="415" t="s">
        <v>468</v>
      </c>
      <c r="C166" s="416" t="s">
        <v>469</v>
      </c>
      <c r="D166" s="389"/>
      <c r="E166" s="390"/>
      <c r="F166" s="391"/>
      <c r="G166" s="391"/>
      <c r="H166" s="391"/>
      <c r="I166" s="390"/>
      <c r="J166" s="391"/>
      <c r="K166" s="391"/>
      <c r="L166" s="392"/>
      <c r="M166" s="390"/>
      <c r="N166" s="396"/>
      <c r="O166" s="394"/>
      <c r="P166" s="395"/>
      <c r="Q166" s="396"/>
    </row>
    <row r="167" spans="2:17">
      <c r="B167" s="417">
        <v>1</v>
      </c>
      <c r="C167" s="418" t="s">
        <v>470</v>
      </c>
      <c r="D167" s="397">
        <f>E167+I167+M167+N167+Q167</f>
        <v>100.00000000000001</v>
      </c>
      <c r="E167" s="398">
        <f>SUM(F167:H167)</f>
        <v>34.589509999999997</v>
      </c>
      <c r="F167" s="399">
        <v>2.36714</v>
      </c>
      <c r="G167" s="399">
        <v>2.2488899999999998</v>
      </c>
      <c r="H167" s="399">
        <v>29.973479999999999</v>
      </c>
      <c r="I167" s="398">
        <f>SUM(J167:L167)</f>
        <v>65.211100000000002</v>
      </c>
      <c r="J167" s="399">
        <v>49.692520000000002</v>
      </c>
      <c r="K167" s="399">
        <v>14.177680000000001</v>
      </c>
      <c r="L167" s="400">
        <v>1.3409</v>
      </c>
      <c r="M167" s="401">
        <v>8.43E-3</v>
      </c>
      <c r="N167" s="398">
        <f>SUM(O167:P167)</f>
        <v>0.18378</v>
      </c>
      <c r="O167" s="419">
        <v>0.18378</v>
      </c>
      <c r="P167" s="420">
        <v>0</v>
      </c>
      <c r="Q167" s="405">
        <v>7.1799999999999998E-3</v>
      </c>
    </row>
    <row r="168" spans="2:17">
      <c r="B168" s="421">
        <v>2</v>
      </c>
      <c r="C168" s="422" t="s">
        <v>471</v>
      </c>
      <c r="D168" s="407">
        <f>E168+I168+M168+N168+Q168</f>
        <v>100.00000000000001</v>
      </c>
      <c r="E168" s="408">
        <f>SUM(F168:H168)</f>
        <v>34.589509999999997</v>
      </c>
      <c r="F168" s="409">
        <v>2.36714</v>
      </c>
      <c r="G168" s="409">
        <v>2.2488899999999998</v>
      </c>
      <c r="H168" s="409">
        <v>29.973479999999999</v>
      </c>
      <c r="I168" s="408">
        <f>SUM(J168:L168)</f>
        <v>65.211100000000002</v>
      </c>
      <c r="J168" s="409">
        <v>49.692520000000002</v>
      </c>
      <c r="K168" s="409">
        <v>14.177680000000001</v>
      </c>
      <c r="L168" s="410">
        <v>1.3409</v>
      </c>
      <c r="M168" s="411">
        <v>8.43E-3</v>
      </c>
      <c r="N168" s="398">
        <f>SUM(O168:P168)</f>
        <v>0.18378</v>
      </c>
      <c r="O168" s="423">
        <v>0.18378</v>
      </c>
      <c r="P168" s="424">
        <v>0</v>
      </c>
      <c r="Q168" s="414">
        <v>7.1799999999999998E-3</v>
      </c>
    </row>
    <row r="169" spans="2:17">
      <c r="B169" s="415" t="s">
        <v>472</v>
      </c>
      <c r="C169" s="416" t="s">
        <v>473</v>
      </c>
      <c r="D169" s="389"/>
      <c r="E169" s="390"/>
      <c r="F169" s="391"/>
      <c r="G169" s="391"/>
      <c r="H169" s="391"/>
      <c r="I169" s="390"/>
      <c r="J169" s="391"/>
      <c r="K169" s="391"/>
      <c r="L169" s="392"/>
      <c r="M169" s="390"/>
      <c r="N169" s="396"/>
      <c r="O169" s="394"/>
      <c r="P169" s="395"/>
      <c r="Q169" s="396"/>
    </row>
    <row r="170" spans="2:17">
      <c r="B170" s="417">
        <v>1</v>
      </c>
      <c r="C170" s="418" t="s">
        <v>474</v>
      </c>
      <c r="D170" s="397">
        <f t="shared" ref="D170:D185" si="148">E170+I170+M170+N170+Q170</f>
        <v>100.00000000000001</v>
      </c>
      <c r="E170" s="398">
        <f t="shared" ref="E170:E185" si="149">SUM(F170:H170)</f>
        <v>34.589509999999997</v>
      </c>
      <c r="F170" s="399">
        <v>2.36714</v>
      </c>
      <c r="G170" s="399">
        <v>2.2488899999999998</v>
      </c>
      <c r="H170" s="399">
        <v>29.973479999999999</v>
      </c>
      <c r="I170" s="398">
        <f t="shared" ref="I170:I185" si="150">SUM(J170:L170)</f>
        <v>65.211100000000002</v>
      </c>
      <c r="J170" s="399">
        <v>49.692520000000002</v>
      </c>
      <c r="K170" s="399">
        <v>14.177680000000001</v>
      </c>
      <c r="L170" s="400">
        <v>1.3409</v>
      </c>
      <c r="M170" s="401">
        <v>8.43E-3</v>
      </c>
      <c r="N170" s="398">
        <f>SUM(O170:P170)</f>
        <v>0.18378</v>
      </c>
      <c r="O170" s="403">
        <v>0.18378</v>
      </c>
      <c r="P170" s="404">
        <v>0</v>
      </c>
      <c r="Q170" s="405">
        <v>7.1799999999999998E-3</v>
      </c>
    </row>
    <row r="171" spans="2:17">
      <c r="B171" s="417">
        <v>2</v>
      </c>
      <c r="C171" s="418" t="s">
        <v>475</v>
      </c>
      <c r="D171" s="397">
        <f t="shared" si="148"/>
        <v>100.00000000000001</v>
      </c>
      <c r="E171" s="398">
        <f t="shared" si="149"/>
        <v>34.589509999999997</v>
      </c>
      <c r="F171" s="399">
        <v>2.36714</v>
      </c>
      <c r="G171" s="399">
        <v>2.2488899999999998</v>
      </c>
      <c r="H171" s="399">
        <v>29.973479999999999</v>
      </c>
      <c r="I171" s="398">
        <f t="shared" si="150"/>
        <v>65.211100000000002</v>
      </c>
      <c r="J171" s="399">
        <v>49.692520000000002</v>
      </c>
      <c r="K171" s="399">
        <v>14.177680000000001</v>
      </c>
      <c r="L171" s="400">
        <v>1.3409</v>
      </c>
      <c r="M171" s="401">
        <v>8.43E-3</v>
      </c>
      <c r="N171" s="398">
        <f t="shared" ref="N171:N183" si="151">SUM(O171:P171)</f>
        <v>0.18378</v>
      </c>
      <c r="O171" s="403">
        <v>0.18378</v>
      </c>
      <c r="P171" s="404">
        <v>0</v>
      </c>
      <c r="Q171" s="405">
        <v>7.1799999999999998E-3</v>
      </c>
    </row>
    <row r="172" spans="2:17">
      <c r="B172" s="417">
        <v>3</v>
      </c>
      <c r="C172" s="418" t="s">
        <v>476</v>
      </c>
      <c r="D172" s="397">
        <f t="shared" si="148"/>
        <v>100.00000000000001</v>
      </c>
      <c r="E172" s="398">
        <f t="shared" si="149"/>
        <v>34.589509999999997</v>
      </c>
      <c r="F172" s="399">
        <v>2.36714</v>
      </c>
      <c r="G172" s="399">
        <v>2.2488899999999998</v>
      </c>
      <c r="H172" s="399">
        <v>29.973479999999999</v>
      </c>
      <c r="I172" s="398">
        <f t="shared" si="150"/>
        <v>65.211100000000002</v>
      </c>
      <c r="J172" s="399">
        <v>49.692520000000002</v>
      </c>
      <c r="K172" s="399">
        <v>14.177680000000001</v>
      </c>
      <c r="L172" s="400">
        <v>1.3409</v>
      </c>
      <c r="M172" s="401">
        <v>8.43E-3</v>
      </c>
      <c r="N172" s="398">
        <f t="shared" si="151"/>
        <v>0.18378</v>
      </c>
      <c r="O172" s="403">
        <v>0.18378</v>
      </c>
      <c r="P172" s="404">
        <v>0</v>
      </c>
      <c r="Q172" s="405">
        <v>7.1799999999999998E-3</v>
      </c>
    </row>
    <row r="173" spans="2:17">
      <c r="B173" s="417">
        <v>4</v>
      </c>
      <c r="C173" s="418" t="s">
        <v>477</v>
      </c>
      <c r="D173" s="397">
        <f t="shared" si="148"/>
        <v>100.00000000000001</v>
      </c>
      <c r="E173" s="398">
        <f t="shared" si="149"/>
        <v>34.589509999999997</v>
      </c>
      <c r="F173" s="399">
        <v>2.36714</v>
      </c>
      <c r="G173" s="399">
        <v>2.2488899999999998</v>
      </c>
      <c r="H173" s="399">
        <v>29.973479999999999</v>
      </c>
      <c r="I173" s="398">
        <f t="shared" si="150"/>
        <v>65.211100000000002</v>
      </c>
      <c r="J173" s="399">
        <v>49.692520000000002</v>
      </c>
      <c r="K173" s="399">
        <v>14.177680000000001</v>
      </c>
      <c r="L173" s="400">
        <v>1.3409</v>
      </c>
      <c r="M173" s="401">
        <v>8.43E-3</v>
      </c>
      <c r="N173" s="398">
        <f t="shared" si="151"/>
        <v>0.18378</v>
      </c>
      <c r="O173" s="403">
        <v>0.18378</v>
      </c>
      <c r="P173" s="404">
        <v>0</v>
      </c>
      <c r="Q173" s="405">
        <v>7.1799999999999998E-3</v>
      </c>
    </row>
    <row r="174" spans="2:17">
      <c r="B174" s="417">
        <v>5</v>
      </c>
      <c r="C174" s="418" t="s">
        <v>478</v>
      </c>
      <c r="D174" s="397">
        <f t="shared" si="148"/>
        <v>100.00000000000001</v>
      </c>
      <c r="E174" s="398">
        <f t="shared" si="149"/>
        <v>34.589509999999997</v>
      </c>
      <c r="F174" s="399">
        <v>2.36714</v>
      </c>
      <c r="G174" s="399">
        <v>2.2488899999999998</v>
      </c>
      <c r="H174" s="399">
        <v>29.973479999999999</v>
      </c>
      <c r="I174" s="398">
        <f t="shared" si="150"/>
        <v>65.211100000000002</v>
      </c>
      <c r="J174" s="399">
        <v>49.692520000000002</v>
      </c>
      <c r="K174" s="399">
        <v>14.177680000000001</v>
      </c>
      <c r="L174" s="400">
        <v>1.3409</v>
      </c>
      <c r="M174" s="401">
        <v>8.43E-3</v>
      </c>
      <c r="N174" s="398">
        <f t="shared" si="151"/>
        <v>0.18378</v>
      </c>
      <c r="O174" s="403">
        <v>0.18378</v>
      </c>
      <c r="P174" s="404">
        <v>0</v>
      </c>
      <c r="Q174" s="405">
        <v>7.1799999999999998E-3</v>
      </c>
    </row>
    <row r="175" spans="2:17">
      <c r="B175" s="417">
        <v>6</v>
      </c>
      <c r="C175" s="418" t="s">
        <v>479</v>
      </c>
      <c r="D175" s="397">
        <f t="shared" si="148"/>
        <v>100.00000000000001</v>
      </c>
      <c r="E175" s="398">
        <f t="shared" si="149"/>
        <v>34.589509999999997</v>
      </c>
      <c r="F175" s="399">
        <v>2.36714</v>
      </c>
      <c r="G175" s="399">
        <v>2.2488899999999998</v>
      </c>
      <c r="H175" s="399">
        <v>29.973479999999999</v>
      </c>
      <c r="I175" s="398">
        <f t="shared" si="150"/>
        <v>65.211100000000002</v>
      </c>
      <c r="J175" s="399">
        <v>49.692520000000002</v>
      </c>
      <c r="K175" s="399">
        <v>14.177680000000001</v>
      </c>
      <c r="L175" s="400">
        <v>1.3409</v>
      </c>
      <c r="M175" s="401">
        <v>8.43E-3</v>
      </c>
      <c r="N175" s="398">
        <f t="shared" si="151"/>
        <v>0.18378</v>
      </c>
      <c r="O175" s="403">
        <v>0.18378</v>
      </c>
      <c r="P175" s="404">
        <v>0</v>
      </c>
      <c r="Q175" s="405">
        <v>7.1799999999999998E-3</v>
      </c>
    </row>
    <row r="176" spans="2:17">
      <c r="B176" s="417">
        <v>7</v>
      </c>
      <c r="C176" s="418" t="s">
        <v>480</v>
      </c>
      <c r="D176" s="397">
        <f t="shared" si="148"/>
        <v>100.00000000000001</v>
      </c>
      <c r="E176" s="398">
        <f t="shared" si="149"/>
        <v>34.589509999999997</v>
      </c>
      <c r="F176" s="399">
        <v>2.36714</v>
      </c>
      <c r="G176" s="399">
        <v>2.2488899999999998</v>
      </c>
      <c r="H176" s="399">
        <v>29.973479999999999</v>
      </c>
      <c r="I176" s="398">
        <f t="shared" si="150"/>
        <v>65.211100000000002</v>
      </c>
      <c r="J176" s="399">
        <v>49.692520000000002</v>
      </c>
      <c r="K176" s="399">
        <v>14.177680000000001</v>
      </c>
      <c r="L176" s="400">
        <v>1.3409</v>
      </c>
      <c r="M176" s="401">
        <v>8.43E-3</v>
      </c>
      <c r="N176" s="398">
        <f t="shared" si="151"/>
        <v>0.18378</v>
      </c>
      <c r="O176" s="403">
        <v>0.18378</v>
      </c>
      <c r="P176" s="404">
        <v>0</v>
      </c>
      <c r="Q176" s="405">
        <v>7.1799999999999998E-3</v>
      </c>
    </row>
    <row r="177" spans="1:20">
      <c r="B177" s="417">
        <v>8</v>
      </c>
      <c r="C177" s="418" t="s">
        <v>481</v>
      </c>
      <c r="D177" s="397">
        <f t="shared" si="148"/>
        <v>100.00000000000001</v>
      </c>
      <c r="E177" s="398">
        <f t="shared" si="149"/>
        <v>34.589509999999997</v>
      </c>
      <c r="F177" s="399">
        <v>2.36714</v>
      </c>
      <c r="G177" s="399">
        <v>2.2488899999999998</v>
      </c>
      <c r="H177" s="399">
        <v>29.973479999999999</v>
      </c>
      <c r="I177" s="398">
        <f t="shared" si="150"/>
        <v>65.211100000000002</v>
      </c>
      <c r="J177" s="399">
        <v>49.692520000000002</v>
      </c>
      <c r="K177" s="399">
        <v>14.177680000000001</v>
      </c>
      <c r="L177" s="400">
        <v>1.3409</v>
      </c>
      <c r="M177" s="401">
        <v>8.43E-3</v>
      </c>
      <c r="N177" s="398">
        <f t="shared" si="151"/>
        <v>0.18378</v>
      </c>
      <c r="O177" s="403">
        <v>0.18378</v>
      </c>
      <c r="P177" s="404">
        <v>0</v>
      </c>
      <c r="Q177" s="405">
        <v>7.1799999999999998E-3</v>
      </c>
    </row>
    <row r="178" spans="1:20">
      <c r="B178" s="417">
        <v>9</v>
      </c>
      <c r="C178" s="418" t="s">
        <v>482</v>
      </c>
      <c r="D178" s="397">
        <f t="shared" si="148"/>
        <v>100.00000000000001</v>
      </c>
      <c r="E178" s="398">
        <f t="shared" si="149"/>
        <v>34.589509999999997</v>
      </c>
      <c r="F178" s="399">
        <v>2.36714</v>
      </c>
      <c r="G178" s="399">
        <v>2.2488899999999998</v>
      </c>
      <c r="H178" s="399">
        <v>29.973479999999999</v>
      </c>
      <c r="I178" s="398">
        <f t="shared" si="150"/>
        <v>65.211100000000002</v>
      </c>
      <c r="J178" s="399">
        <v>49.692520000000002</v>
      </c>
      <c r="K178" s="399">
        <v>14.177680000000001</v>
      </c>
      <c r="L178" s="400">
        <v>1.3409</v>
      </c>
      <c r="M178" s="401">
        <v>8.43E-3</v>
      </c>
      <c r="N178" s="398">
        <f t="shared" si="151"/>
        <v>0.18378</v>
      </c>
      <c r="O178" s="403">
        <v>0.18378</v>
      </c>
      <c r="P178" s="404">
        <v>0</v>
      </c>
      <c r="Q178" s="405">
        <v>7.1799999999999998E-3</v>
      </c>
    </row>
    <row r="179" spans="1:20">
      <c r="B179" s="417">
        <v>10</v>
      </c>
      <c r="C179" s="418" t="s">
        <v>483</v>
      </c>
      <c r="D179" s="397">
        <f t="shared" si="148"/>
        <v>100.00000000000001</v>
      </c>
      <c r="E179" s="398">
        <f t="shared" si="149"/>
        <v>34.589509999999997</v>
      </c>
      <c r="F179" s="399">
        <v>2.36714</v>
      </c>
      <c r="G179" s="399">
        <v>2.2488899999999998</v>
      </c>
      <c r="H179" s="399">
        <v>29.973479999999999</v>
      </c>
      <c r="I179" s="398">
        <f t="shared" si="150"/>
        <v>65.211100000000002</v>
      </c>
      <c r="J179" s="399">
        <v>49.692520000000002</v>
      </c>
      <c r="K179" s="399">
        <v>14.177680000000001</v>
      </c>
      <c r="L179" s="400">
        <v>1.3409</v>
      </c>
      <c r="M179" s="401">
        <v>8.43E-3</v>
      </c>
      <c r="N179" s="398">
        <f t="shared" si="151"/>
        <v>0.18378</v>
      </c>
      <c r="O179" s="403">
        <v>0.18378</v>
      </c>
      <c r="P179" s="404">
        <v>0</v>
      </c>
      <c r="Q179" s="405">
        <v>7.1799999999999998E-3</v>
      </c>
    </row>
    <row r="180" spans="1:20">
      <c r="B180" s="417">
        <v>11</v>
      </c>
      <c r="C180" s="418" t="s">
        <v>484</v>
      </c>
      <c r="D180" s="397">
        <f t="shared" si="148"/>
        <v>100.00000000000001</v>
      </c>
      <c r="E180" s="398">
        <f t="shared" si="149"/>
        <v>34.589509999999997</v>
      </c>
      <c r="F180" s="399">
        <v>2.36714</v>
      </c>
      <c r="G180" s="399">
        <v>2.2488899999999998</v>
      </c>
      <c r="H180" s="399">
        <v>29.973479999999999</v>
      </c>
      <c r="I180" s="398">
        <f t="shared" si="150"/>
        <v>65.211100000000002</v>
      </c>
      <c r="J180" s="399">
        <v>49.692520000000002</v>
      </c>
      <c r="K180" s="399">
        <v>14.177680000000001</v>
      </c>
      <c r="L180" s="400">
        <v>1.3409</v>
      </c>
      <c r="M180" s="401">
        <v>8.43E-3</v>
      </c>
      <c r="N180" s="398">
        <f t="shared" si="151"/>
        <v>0.18378</v>
      </c>
      <c r="O180" s="403">
        <v>0.18378</v>
      </c>
      <c r="P180" s="404">
        <v>0</v>
      </c>
      <c r="Q180" s="405">
        <v>7.1799999999999998E-3</v>
      </c>
    </row>
    <row r="181" spans="1:20">
      <c r="B181" s="417">
        <v>12</v>
      </c>
      <c r="C181" s="418" t="s">
        <v>485</v>
      </c>
      <c r="D181" s="397">
        <f t="shared" si="148"/>
        <v>100.00000000000001</v>
      </c>
      <c r="E181" s="398">
        <f t="shared" si="149"/>
        <v>34.589509999999997</v>
      </c>
      <c r="F181" s="399">
        <v>2.36714</v>
      </c>
      <c r="G181" s="399">
        <v>2.2488899999999998</v>
      </c>
      <c r="H181" s="399">
        <v>29.973479999999999</v>
      </c>
      <c r="I181" s="398">
        <f t="shared" si="150"/>
        <v>65.211100000000002</v>
      </c>
      <c r="J181" s="399">
        <v>49.692520000000002</v>
      </c>
      <c r="K181" s="399">
        <v>14.177680000000001</v>
      </c>
      <c r="L181" s="400">
        <v>1.3409</v>
      </c>
      <c r="M181" s="401">
        <v>8.43E-3</v>
      </c>
      <c r="N181" s="398">
        <f t="shared" si="151"/>
        <v>0.18378</v>
      </c>
      <c r="O181" s="403">
        <v>0.18378</v>
      </c>
      <c r="P181" s="404">
        <v>0</v>
      </c>
      <c r="Q181" s="405">
        <v>7.1799999999999998E-3</v>
      </c>
    </row>
    <row r="182" spans="1:20">
      <c r="B182" s="417">
        <v>13</v>
      </c>
      <c r="C182" s="418" t="s">
        <v>486</v>
      </c>
      <c r="D182" s="397">
        <f t="shared" si="148"/>
        <v>100.00000000000001</v>
      </c>
      <c r="E182" s="398">
        <f t="shared" si="149"/>
        <v>34.589509999999997</v>
      </c>
      <c r="F182" s="399">
        <v>2.36714</v>
      </c>
      <c r="G182" s="399">
        <v>2.2488899999999998</v>
      </c>
      <c r="H182" s="399">
        <v>29.973479999999999</v>
      </c>
      <c r="I182" s="398">
        <f t="shared" si="150"/>
        <v>65.211100000000002</v>
      </c>
      <c r="J182" s="399">
        <v>49.692520000000002</v>
      </c>
      <c r="K182" s="399">
        <v>14.177680000000001</v>
      </c>
      <c r="L182" s="400">
        <v>1.3409</v>
      </c>
      <c r="M182" s="401">
        <v>8.43E-3</v>
      </c>
      <c r="N182" s="398">
        <f t="shared" si="151"/>
        <v>0.18378</v>
      </c>
      <c r="O182" s="403">
        <v>0.18378</v>
      </c>
      <c r="P182" s="404">
        <v>0</v>
      </c>
      <c r="Q182" s="405">
        <v>7.1799999999999998E-3</v>
      </c>
    </row>
    <row r="183" spans="1:20">
      <c r="B183" s="421">
        <v>14</v>
      </c>
      <c r="C183" s="422" t="s">
        <v>487</v>
      </c>
      <c r="D183" s="407">
        <f t="shared" si="148"/>
        <v>100.00000000000001</v>
      </c>
      <c r="E183" s="408">
        <f t="shared" si="149"/>
        <v>34.589509999999997</v>
      </c>
      <c r="F183" s="409">
        <v>2.36714</v>
      </c>
      <c r="G183" s="409">
        <v>2.2488899999999998</v>
      </c>
      <c r="H183" s="409">
        <v>29.973479999999999</v>
      </c>
      <c r="I183" s="408">
        <f t="shared" si="150"/>
        <v>65.211100000000002</v>
      </c>
      <c r="J183" s="409">
        <v>49.692520000000002</v>
      </c>
      <c r="K183" s="409">
        <v>14.177680000000001</v>
      </c>
      <c r="L183" s="410">
        <v>1.3409</v>
      </c>
      <c r="M183" s="411">
        <v>8.43E-3</v>
      </c>
      <c r="N183" s="398">
        <f t="shared" si="151"/>
        <v>0.18378</v>
      </c>
      <c r="O183" s="412">
        <v>0.18378</v>
      </c>
      <c r="P183" s="413">
        <v>0</v>
      </c>
      <c r="Q183" s="414">
        <v>7.1799999999999998E-3</v>
      </c>
    </row>
    <row r="184" spans="1:20">
      <c r="B184" s="426" t="s">
        <v>488</v>
      </c>
      <c r="C184" s="427" t="s">
        <v>388</v>
      </c>
      <c r="D184" s="428">
        <f t="shared" si="148"/>
        <v>100.00000000000001</v>
      </c>
      <c r="E184" s="429">
        <f t="shared" si="149"/>
        <v>34.589509999999997</v>
      </c>
      <c r="F184" s="430">
        <v>2.36714</v>
      </c>
      <c r="G184" s="430">
        <v>2.2488899999999998</v>
      </c>
      <c r="H184" s="430">
        <v>29.973479999999999</v>
      </c>
      <c r="I184" s="429">
        <f t="shared" si="150"/>
        <v>65.211100000000002</v>
      </c>
      <c r="J184" s="430">
        <v>49.692520000000002</v>
      </c>
      <c r="K184" s="430">
        <v>14.177680000000001</v>
      </c>
      <c r="L184" s="431">
        <v>1.3409</v>
      </c>
      <c r="M184" s="432">
        <v>8.43E-3</v>
      </c>
      <c r="N184" s="429">
        <f>SUM(O184:P184)</f>
        <v>0.18378</v>
      </c>
      <c r="O184" s="443">
        <v>0.18378</v>
      </c>
      <c r="P184" s="444">
        <v>0</v>
      </c>
      <c r="Q184" s="435">
        <v>7.1799999999999998E-3</v>
      </c>
    </row>
    <row r="185" spans="1:20">
      <c r="B185" s="445" t="s">
        <v>489</v>
      </c>
      <c r="C185" s="446" t="s">
        <v>390</v>
      </c>
      <c r="D185" s="447">
        <f t="shared" si="148"/>
        <v>100.00000000000001</v>
      </c>
      <c r="E185" s="448">
        <f t="shared" si="149"/>
        <v>34.589509999999997</v>
      </c>
      <c r="F185" s="449">
        <v>2.36714</v>
      </c>
      <c r="G185" s="449">
        <v>2.2488899999999998</v>
      </c>
      <c r="H185" s="449">
        <v>29.973479999999999</v>
      </c>
      <c r="I185" s="448">
        <f t="shared" si="150"/>
        <v>65.211100000000002</v>
      </c>
      <c r="J185" s="449">
        <v>49.692520000000002</v>
      </c>
      <c r="K185" s="449">
        <v>14.177680000000001</v>
      </c>
      <c r="L185" s="450">
        <v>1.3409</v>
      </c>
      <c r="M185" s="451">
        <v>8.43E-3</v>
      </c>
      <c r="N185" s="448">
        <f>SUM(O185:P185)</f>
        <v>0.18378</v>
      </c>
      <c r="O185" s="452">
        <v>0.18378</v>
      </c>
      <c r="P185" s="453">
        <v>0</v>
      </c>
      <c r="Q185" s="454">
        <v>7.1799999999999998E-3</v>
      </c>
    </row>
    <row r="186" spans="1:20" ht="45" customHeight="1" thickTop="1" thickBot="1">
      <c r="B186" s="133" t="s">
        <v>77</v>
      </c>
      <c r="C186" s="134" t="s">
        <v>490</v>
      </c>
      <c r="D186" s="337">
        <f t="shared" ref="D186:Q186" si="152">D187+D189+D192+D194+D201+D200+D206+D210+D213+D229+D230</f>
        <v>365.08983000000006</v>
      </c>
      <c r="E186" s="133">
        <f t="shared" si="152"/>
        <v>121.83111691047652</v>
      </c>
      <c r="F186" s="237">
        <f t="shared" si="152"/>
        <v>25.746380223517352</v>
      </c>
      <c r="G186" s="238">
        <f t="shared" si="152"/>
        <v>14.586813309058206</v>
      </c>
      <c r="H186" s="239">
        <f t="shared" si="152"/>
        <v>81.497923377900989</v>
      </c>
      <c r="I186" s="133">
        <f t="shared" si="152"/>
        <v>187.20459088720295</v>
      </c>
      <c r="J186" s="237">
        <f t="shared" si="152"/>
        <v>91.816921730918295</v>
      </c>
      <c r="K186" s="238">
        <f t="shared" si="152"/>
        <v>76.662553198798904</v>
      </c>
      <c r="L186" s="455">
        <f t="shared" si="152"/>
        <v>18.725115957485805</v>
      </c>
      <c r="M186" s="133">
        <f t="shared" si="152"/>
        <v>7.7014916372625946</v>
      </c>
      <c r="N186" s="240">
        <f t="shared" si="152"/>
        <v>43.962657736822926</v>
      </c>
      <c r="O186" s="241">
        <f t="shared" si="152"/>
        <v>43.962657736822926</v>
      </c>
      <c r="P186" s="239">
        <f t="shared" si="152"/>
        <v>0</v>
      </c>
      <c r="Q186" s="240">
        <f t="shared" si="152"/>
        <v>4.3899728282349546</v>
      </c>
      <c r="R186" s="338"/>
      <c r="S186" s="339"/>
      <c r="T186" s="211"/>
    </row>
    <row r="187" spans="1:20" ht="15.75" thickTop="1">
      <c r="B187" s="456" t="s">
        <v>491</v>
      </c>
      <c r="C187" s="457" t="s">
        <v>299</v>
      </c>
      <c r="D187" s="458">
        <f t="shared" ref="D187:Q187" si="153">D188</f>
        <v>5.7114200000000004</v>
      </c>
      <c r="E187" s="456">
        <f t="shared" si="153"/>
        <v>1.9094448600374174</v>
      </c>
      <c r="F187" s="459">
        <f t="shared" si="153"/>
        <v>0.40312418673173073</v>
      </c>
      <c r="G187" s="460">
        <f t="shared" si="153"/>
        <v>0.22903630881651471</v>
      </c>
      <c r="H187" s="461">
        <f t="shared" si="153"/>
        <v>1.277284364489172</v>
      </c>
      <c r="I187" s="456">
        <f t="shared" si="153"/>
        <v>2.9185420029403861</v>
      </c>
      <c r="J187" s="459">
        <f t="shared" si="153"/>
        <v>1.431161185248798</v>
      </c>
      <c r="K187" s="460">
        <f t="shared" si="153"/>
        <v>1.1933571422949247</v>
      </c>
      <c r="L187" s="462">
        <f t="shared" si="153"/>
        <v>0.29402367539666324</v>
      </c>
      <c r="M187" s="456">
        <f t="shared" si="153"/>
        <v>0.1213828295051792</v>
      </c>
      <c r="N187" s="463">
        <f t="shared" si="153"/>
        <v>0.69286073221940514</v>
      </c>
      <c r="O187" s="464">
        <f t="shared" si="153"/>
        <v>0.69286073221940514</v>
      </c>
      <c r="P187" s="461">
        <f t="shared" si="153"/>
        <v>0</v>
      </c>
      <c r="Q187" s="463">
        <f t="shared" si="153"/>
        <v>6.9189575297612271E-2</v>
      </c>
      <c r="R187" s="338"/>
      <c r="S187" s="339"/>
    </row>
    <row r="188" spans="1:20" ht="26.25" thickBot="1">
      <c r="A188" s="465"/>
      <c r="B188" s="172" t="s">
        <v>492</v>
      </c>
      <c r="C188" s="170" t="s">
        <v>493</v>
      </c>
      <c r="D188" s="466">
        <v>5.7114200000000004</v>
      </c>
      <c r="E188" s="328">
        <f>SUM(F188:H188)</f>
        <v>1.9094448600374174</v>
      </c>
      <c r="F188" s="467">
        <f>IFERROR($D188*F$237/100, 0)</f>
        <v>0.40312418673173073</v>
      </c>
      <c r="G188" s="468">
        <f>IFERROR($D188*G$237/100, 0)</f>
        <v>0.22903630881651471</v>
      </c>
      <c r="H188" s="469">
        <f>IFERROR($D188*H$237/100, 0)</f>
        <v>1.277284364489172</v>
      </c>
      <c r="I188" s="328">
        <f t="shared" ref="I188:I235" si="154">SUM(J188:L188)</f>
        <v>2.9185420029403861</v>
      </c>
      <c r="J188" s="467">
        <f t="shared" ref="J188:Q188" si="155">IFERROR($D188*J$237/100, 0)</f>
        <v>1.431161185248798</v>
      </c>
      <c r="K188" s="468">
        <f t="shared" si="155"/>
        <v>1.1933571422949247</v>
      </c>
      <c r="L188" s="470">
        <f t="shared" si="155"/>
        <v>0.29402367539666324</v>
      </c>
      <c r="M188" s="328">
        <f t="shared" si="155"/>
        <v>0.1213828295051792</v>
      </c>
      <c r="N188" s="328">
        <f t="shared" ref="N188:N199" si="156">SUM(O188:P188)</f>
        <v>0.69286073221940514</v>
      </c>
      <c r="O188" s="471">
        <f t="shared" si="155"/>
        <v>0.69286073221940514</v>
      </c>
      <c r="P188" s="469">
        <f t="shared" si="155"/>
        <v>0</v>
      </c>
      <c r="Q188" s="472">
        <f t="shared" si="155"/>
        <v>6.9189575297612271E-2</v>
      </c>
      <c r="R188" s="349"/>
      <c r="S188" s="350"/>
    </row>
    <row r="189" spans="1:20" s="3" customFormat="1">
      <c r="B189" s="150" t="s">
        <v>167</v>
      </c>
      <c r="C189" s="210" t="s">
        <v>309</v>
      </c>
      <c r="D189" s="351">
        <f t="shared" ref="D189:H189" si="157">SUM(D190:D191)</f>
        <v>3.8997199999999999</v>
      </c>
      <c r="E189" s="153">
        <f t="shared" si="157"/>
        <v>1.3037563880059806</v>
      </c>
      <c r="F189" s="154">
        <f t="shared" si="157"/>
        <v>0.27525054250632325</v>
      </c>
      <c r="G189" s="155">
        <f t="shared" si="157"/>
        <v>0.1563844848072701</v>
      </c>
      <c r="H189" s="156">
        <f t="shared" si="157"/>
        <v>0.8721213606923871</v>
      </c>
      <c r="I189" s="153">
        <f t="shared" si="154"/>
        <v>1.9927612782297013</v>
      </c>
      <c r="J189" s="154">
        <f t="shared" ref="J189:Q189" si="158">SUM(J190:J191)</f>
        <v>0.97718744153615777</v>
      </c>
      <c r="K189" s="155">
        <f t="shared" si="158"/>
        <v>0.81481640554369372</v>
      </c>
      <c r="L189" s="473">
        <f t="shared" si="158"/>
        <v>0.20075743114984984</v>
      </c>
      <c r="M189" s="153">
        <f t="shared" si="158"/>
        <v>8.2879397396433352E-2</v>
      </c>
      <c r="N189" s="153">
        <f t="shared" si="156"/>
        <v>0.47308074955976948</v>
      </c>
      <c r="O189" s="158">
        <f t="shared" ref="O189:P189" si="159">SUM(O190:O191)</f>
        <v>0.47308074955976948</v>
      </c>
      <c r="P189" s="156">
        <f t="shared" si="159"/>
        <v>0</v>
      </c>
      <c r="Q189" s="157">
        <f t="shared" si="158"/>
        <v>4.7242186808115066E-2</v>
      </c>
      <c r="R189" s="338"/>
      <c r="S189" s="339"/>
    </row>
    <row r="190" spans="1:20">
      <c r="B190" s="269" t="s">
        <v>494</v>
      </c>
      <c r="C190" s="170" t="s">
        <v>495</v>
      </c>
      <c r="D190" s="348">
        <v>0</v>
      </c>
      <c r="E190" s="212">
        <f t="shared" ref="E190:E235" si="160">SUM(F190:H190)</f>
        <v>0</v>
      </c>
      <c r="F190" s="215">
        <f t="shared" ref="F190:H191" si="161">IFERROR($D190*F$237/100, 0)</f>
        <v>0</v>
      </c>
      <c r="G190" s="216">
        <f t="shared" si="161"/>
        <v>0</v>
      </c>
      <c r="H190" s="217">
        <f t="shared" si="161"/>
        <v>0</v>
      </c>
      <c r="I190" s="212">
        <f t="shared" si="154"/>
        <v>0</v>
      </c>
      <c r="J190" s="215">
        <f t="shared" ref="J190:Q191" si="162">IFERROR($D190*J$237/100, 0)</f>
        <v>0</v>
      </c>
      <c r="K190" s="216">
        <f t="shared" si="162"/>
        <v>0</v>
      </c>
      <c r="L190" s="474">
        <f t="shared" si="162"/>
        <v>0</v>
      </c>
      <c r="M190" s="212">
        <f t="shared" si="162"/>
        <v>0</v>
      </c>
      <c r="N190" s="212">
        <f t="shared" si="156"/>
        <v>0</v>
      </c>
      <c r="O190" s="219">
        <f t="shared" si="162"/>
        <v>0</v>
      </c>
      <c r="P190" s="217">
        <f t="shared" si="162"/>
        <v>0</v>
      </c>
      <c r="Q190" s="218">
        <f t="shared" si="162"/>
        <v>0</v>
      </c>
      <c r="R190" s="349"/>
      <c r="S190" s="350"/>
    </row>
    <row r="191" spans="1:20">
      <c r="B191" s="475" t="s">
        <v>496</v>
      </c>
      <c r="C191" s="476" t="s">
        <v>313</v>
      </c>
      <c r="D191" s="358">
        <v>3.8997199999999999</v>
      </c>
      <c r="E191" s="359">
        <f t="shared" si="160"/>
        <v>1.3037563880059806</v>
      </c>
      <c r="F191" s="360">
        <f t="shared" si="161"/>
        <v>0.27525054250632325</v>
      </c>
      <c r="G191" s="361">
        <f t="shared" si="161"/>
        <v>0.1563844848072701</v>
      </c>
      <c r="H191" s="362">
        <f t="shared" si="161"/>
        <v>0.8721213606923871</v>
      </c>
      <c r="I191" s="359">
        <f t="shared" si="154"/>
        <v>1.9927612782297013</v>
      </c>
      <c r="J191" s="360">
        <f t="shared" si="162"/>
        <v>0.97718744153615777</v>
      </c>
      <c r="K191" s="361">
        <f t="shared" si="162"/>
        <v>0.81481640554369372</v>
      </c>
      <c r="L191" s="477">
        <f t="shared" si="162"/>
        <v>0.20075743114984984</v>
      </c>
      <c r="M191" s="359">
        <f t="shared" si="162"/>
        <v>8.2879397396433352E-2</v>
      </c>
      <c r="N191" s="359">
        <f t="shared" si="156"/>
        <v>0.47308074955976948</v>
      </c>
      <c r="O191" s="364">
        <f t="shared" si="162"/>
        <v>0.47308074955976948</v>
      </c>
      <c r="P191" s="362">
        <f t="shared" si="162"/>
        <v>0</v>
      </c>
      <c r="Q191" s="478">
        <f t="shared" si="162"/>
        <v>4.7242186808115066E-2</v>
      </c>
      <c r="R191" s="349"/>
      <c r="S191" s="350"/>
    </row>
    <row r="192" spans="1:20">
      <c r="B192" s="142" t="s">
        <v>169</v>
      </c>
      <c r="C192" s="143" t="s">
        <v>315</v>
      </c>
      <c r="D192" s="479">
        <f>D193</f>
        <v>11.361330000000001</v>
      </c>
      <c r="E192" s="145">
        <f t="shared" si="160"/>
        <v>3.798325665366741</v>
      </c>
      <c r="F192" s="146">
        <f>F193</f>
        <v>0.80190686667077782</v>
      </c>
      <c r="G192" s="147">
        <f>G193</f>
        <v>0.45560597652533574</v>
      </c>
      <c r="H192" s="148">
        <f>H193</f>
        <v>2.5408128221706274</v>
      </c>
      <c r="I192" s="145">
        <f t="shared" si="154"/>
        <v>5.8056523271387324</v>
      </c>
      <c r="J192" s="146">
        <f t="shared" ref="J192:Q192" si="163">J193</f>
        <v>2.8469092640363916</v>
      </c>
      <c r="K192" s="147">
        <f t="shared" si="163"/>
        <v>2.3738622446728832</v>
      </c>
      <c r="L192" s="480">
        <f t="shared" si="163"/>
        <v>0.58488081842945738</v>
      </c>
      <c r="M192" s="145">
        <f t="shared" si="163"/>
        <v>0.24145840830162688</v>
      </c>
      <c r="N192" s="145">
        <f t="shared" si="156"/>
        <v>1.3782595961750834</v>
      </c>
      <c r="O192" s="481">
        <f t="shared" si="163"/>
        <v>1.3782595961750834</v>
      </c>
      <c r="P192" s="148">
        <f t="shared" si="163"/>
        <v>0</v>
      </c>
      <c r="Q192" s="149">
        <f t="shared" si="163"/>
        <v>0.13763400301781717</v>
      </c>
      <c r="R192" s="338"/>
      <c r="S192" s="339"/>
    </row>
    <row r="193" spans="2:19">
      <c r="B193" s="169" t="s">
        <v>497</v>
      </c>
      <c r="C193" s="170" t="s">
        <v>317</v>
      </c>
      <c r="D193" s="348">
        <v>11.361330000000001</v>
      </c>
      <c r="E193" s="212">
        <f t="shared" si="160"/>
        <v>3.798325665366741</v>
      </c>
      <c r="F193" s="215">
        <f>IFERROR($D193*F$237/100, 0)</f>
        <v>0.80190686667077782</v>
      </c>
      <c r="G193" s="216">
        <f>IFERROR($D193*G$237/100, 0)</f>
        <v>0.45560597652533574</v>
      </c>
      <c r="H193" s="217">
        <f>IFERROR($D193*H$237/100, 0)</f>
        <v>2.5408128221706274</v>
      </c>
      <c r="I193" s="212">
        <f t="shared" si="154"/>
        <v>5.8056523271387324</v>
      </c>
      <c r="J193" s="215">
        <f t="shared" ref="J193:Q193" si="164">IFERROR($D193*J$237/100, 0)</f>
        <v>2.8469092640363916</v>
      </c>
      <c r="K193" s="216">
        <f t="shared" si="164"/>
        <v>2.3738622446728832</v>
      </c>
      <c r="L193" s="474">
        <f t="shared" si="164"/>
        <v>0.58488081842945738</v>
      </c>
      <c r="M193" s="212">
        <f t="shared" si="164"/>
        <v>0.24145840830162688</v>
      </c>
      <c r="N193" s="212">
        <f t="shared" si="156"/>
        <v>1.3782595961750834</v>
      </c>
      <c r="O193" s="219">
        <f t="shared" si="164"/>
        <v>1.3782595961750834</v>
      </c>
      <c r="P193" s="217">
        <f t="shared" si="164"/>
        <v>0</v>
      </c>
      <c r="Q193" s="218">
        <f t="shared" si="164"/>
        <v>0.13763400301781717</v>
      </c>
      <c r="R193" s="349"/>
      <c r="S193" s="350"/>
    </row>
    <row r="194" spans="2:19" s="3" customFormat="1">
      <c r="B194" s="150" t="s">
        <v>171</v>
      </c>
      <c r="C194" s="210" t="s">
        <v>319</v>
      </c>
      <c r="D194" s="351">
        <f>SUM(D195:D199)</f>
        <v>1.0492600000000001</v>
      </c>
      <c r="E194" s="153">
        <f t="shared" si="160"/>
        <v>0.35078914067654987</v>
      </c>
      <c r="F194" s="154">
        <f>SUM(F195:F199)</f>
        <v>7.4059005320942214E-2</v>
      </c>
      <c r="G194" s="155">
        <f>SUM(G195:G199)</f>
        <v>4.2076863089882413E-2</v>
      </c>
      <c r="H194" s="156">
        <f>SUM(H195:H199)</f>
        <v>0.23465327226572527</v>
      </c>
      <c r="I194" s="153">
        <f t="shared" si="154"/>
        <v>0.53617303262677751</v>
      </c>
      <c r="J194" s="154">
        <f t="shared" ref="J194:Q194" si="165">SUM(J195:J199)</f>
        <v>0.26292238799355572</v>
      </c>
      <c r="K194" s="155">
        <f t="shared" si="165"/>
        <v>0.21923478138963215</v>
      </c>
      <c r="L194" s="473">
        <f t="shared" si="165"/>
        <v>5.4015863243589653E-2</v>
      </c>
      <c r="M194" s="153">
        <f t="shared" si="165"/>
        <v>2.2299559074031382E-2</v>
      </c>
      <c r="N194" s="153">
        <f t="shared" si="156"/>
        <v>0.12728726864571913</v>
      </c>
      <c r="O194" s="158">
        <f t="shared" ref="O194:P194" si="166">SUM(O195:O199)</f>
        <v>0.12728726864571913</v>
      </c>
      <c r="P194" s="156">
        <f t="shared" si="166"/>
        <v>0</v>
      </c>
      <c r="Q194" s="157">
        <f t="shared" si="165"/>
        <v>1.2710998976922142E-2</v>
      </c>
      <c r="R194" s="338"/>
      <c r="S194" s="339"/>
    </row>
    <row r="195" spans="2:19">
      <c r="B195" s="169" t="s">
        <v>498</v>
      </c>
      <c r="C195" s="170" t="s">
        <v>273</v>
      </c>
      <c r="D195" s="348">
        <v>0</v>
      </c>
      <c r="E195" s="212">
        <f t="shared" si="160"/>
        <v>0</v>
      </c>
      <c r="F195" s="215">
        <f t="shared" ref="F195:H199" si="167">IFERROR($D195*F$237/100, 0)</f>
        <v>0</v>
      </c>
      <c r="G195" s="216">
        <f t="shared" si="167"/>
        <v>0</v>
      </c>
      <c r="H195" s="217">
        <f t="shared" si="167"/>
        <v>0</v>
      </c>
      <c r="I195" s="212">
        <f t="shared" si="154"/>
        <v>0</v>
      </c>
      <c r="J195" s="215">
        <f t="shared" ref="J195:Q199" si="168">IFERROR($D195*J$237/100, 0)</f>
        <v>0</v>
      </c>
      <c r="K195" s="216">
        <f t="shared" si="168"/>
        <v>0</v>
      </c>
      <c r="L195" s="474">
        <f t="shared" si="168"/>
        <v>0</v>
      </c>
      <c r="M195" s="212">
        <f t="shared" si="168"/>
        <v>0</v>
      </c>
      <c r="N195" s="212">
        <f t="shared" si="156"/>
        <v>0</v>
      </c>
      <c r="O195" s="219">
        <f t="shared" si="168"/>
        <v>0</v>
      </c>
      <c r="P195" s="217">
        <f t="shared" si="168"/>
        <v>0</v>
      </c>
      <c r="Q195" s="218">
        <f t="shared" si="168"/>
        <v>0</v>
      </c>
      <c r="R195" s="349"/>
      <c r="S195" s="350"/>
    </row>
    <row r="196" spans="2:19">
      <c r="B196" s="169" t="s">
        <v>499</v>
      </c>
      <c r="C196" s="170" t="s">
        <v>277</v>
      </c>
      <c r="D196" s="348">
        <v>1.0492600000000001</v>
      </c>
      <c r="E196" s="212">
        <f t="shared" si="160"/>
        <v>0.35078914067654987</v>
      </c>
      <c r="F196" s="215">
        <f t="shared" si="167"/>
        <v>7.4059005320942214E-2</v>
      </c>
      <c r="G196" s="216">
        <f t="shared" si="167"/>
        <v>4.2076863089882413E-2</v>
      </c>
      <c r="H196" s="217">
        <f t="shared" si="167"/>
        <v>0.23465327226572527</v>
      </c>
      <c r="I196" s="212">
        <f t="shared" si="154"/>
        <v>0.53617303262677751</v>
      </c>
      <c r="J196" s="215">
        <f t="shared" si="168"/>
        <v>0.26292238799355572</v>
      </c>
      <c r="K196" s="216">
        <f t="shared" si="168"/>
        <v>0.21923478138963215</v>
      </c>
      <c r="L196" s="474">
        <f t="shared" si="168"/>
        <v>5.4015863243589653E-2</v>
      </c>
      <c r="M196" s="212">
        <f t="shared" si="168"/>
        <v>2.2299559074031382E-2</v>
      </c>
      <c r="N196" s="212">
        <f t="shared" si="156"/>
        <v>0.12728726864571913</v>
      </c>
      <c r="O196" s="219">
        <f t="shared" si="168"/>
        <v>0.12728726864571913</v>
      </c>
      <c r="P196" s="217">
        <f t="shared" si="168"/>
        <v>0</v>
      </c>
      <c r="Q196" s="218">
        <f t="shared" si="168"/>
        <v>1.2710998976922142E-2</v>
      </c>
      <c r="R196" s="349"/>
      <c r="S196" s="350"/>
    </row>
    <row r="197" spans="2:19">
      <c r="B197" s="169" t="s">
        <v>500</v>
      </c>
      <c r="C197" s="260" t="s">
        <v>323</v>
      </c>
      <c r="D197" s="348">
        <v>0</v>
      </c>
      <c r="E197" s="212">
        <f t="shared" si="160"/>
        <v>0</v>
      </c>
      <c r="F197" s="215">
        <f t="shared" si="167"/>
        <v>0</v>
      </c>
      <c r="G197" s="216">
        <f t="shared" si="167"/>
        <v>0</v>
      </c>
      <c r="H197" s="217">
        <f t="shared" si="167"/>
        <v>0</v>
      </c>
      <c r="I197" s="212">
        <f t="shared" si="154"/>
        <v>0</v>
      </c>
      <c r="J197" s="215">
        <f t="shared" si="168"/>
        <v>0</v>
      </c>
      <c r="K197" s="216">
        <f t="shared" si="168"/>
        <v>0</v>
      </c>
      <c r="L197" s="474">
        <f t="shared" si="168"/>
        <v>0</v>
      </c>
      <c r="M197" s="212">
        <f t="shared" si="168"/>
        <v>0</v>
      </c>
      <c r="N197" s="212">
        <f t="shared" si="156"/>
        <v>0</v>
      </c>
      <c r="O197" s="219">
        <f t="shared" si="168"/>
        <v>0</v>
      </c>
      <c r="P197" s="217">
        <f t="shared" si="168"/>
        <v>0</v>
      </c>
      <c r="Q197" s="218">
        <f t="shared" si="168"/>
        <v>0</v>
      </c>
      <c r="R197" s="349"/>
      <c r="S197" s="350"/>
    </row>
    <row r="198" spans="2:19">
      <c r="B198" s="169" t="s">
        <v>501</v>
      </c>
      <c r="C198" s="261" t="s">
        <v>275</v>
      </c>
      <c r="D198" s="348">
        <v>0</v>
      </c>
      <c r="E198" s="212">
        <f t="shared" si="160"/>
        <v>0</v>
      </c>
      <c r="F198" s="215">
        <f t="shared" si="167"/>
        <v>0</v>
      </c>
      <c r="G198" s="216">
        <f t="shared" si="167"/>
        <v>0</v>
      </c>
      <c r="H198" s="217">
        <f t="shared" si="167"/>
        <v>0</v>
      </c>
      <c r="I198" s="212">
        <f t="shared" si="154"/>
        <v>0</v>
      </c>
      <c r="J198" s="215">
        <f t="shared" si="168"/>
        <v>0</v>
      </c>
      <c r="K198" s="216">
        <f t="shared" si="168"/>
        <v>0</v>
      </c>
      <c r="L198" s="474">
        <f t="shared" si="168"/>
        <v>0</v>
      </c>
      <c r="M198" s="212">
        <f t="shared" si="168"/>
        <v>0</v>
      </c>
      <c r="N198" s="212">
        <f t="shared" si="156"/>
        <v>0</v>
      </c>
      <c r="O198" s="219">
        <f t="shared" si="168"/>
        <v>0</v>
      </c>
      <c r="P198" s="217">
        <f t="shared" si="168"/>
        <v>0</v>
      </c>
      <c r="Q198" s="218">
        <f t="shared" si="168"/>
        <v>0</v>
      </c>
      <c r="R198" s="349"/>
      <c r="S198" s="350"/>
    </row>
    <row r="199" spans="2:19" ht="26.25">
      <c r="B199" s="169" t="s">
        <v>502</v>
      </c>
      <c r="C199" s="261" t="s">
        <v>326</v>
      </c>
      <c r="D199" s="348">
        <v>0</v>
      </c>
      <c r="E199" s="212">
        <f t="shared" si="160"/>
        <v>0</v>
      </c>
      <c r="F199" s="215">
        <f t="shared" si="167"/>
        <v>0</v>
      </c>
      <c r="G199" s="216">
        <f t="shared" si="167"/>
        <v>0</v>
      </c>
      <c r="H199" s="217">
        <f t="shared" si="167"/>
        <v>0</v>
      </c>
      <c r="I199" s="212">
        <f t="shared" si="154"/>
        <v>0</v>
      </c>
      <c r="J199" s="215">
        <f t="shared" si="168"/>
        <v>0</v>
      </c>
      <c r="K199" s="216">
        <f t="shared" si="168"/>
        <v>0</v>
      </c>
      <c r="L199" s="474">
        <f t="shared" si="168"/>
        <v>0</v>
      </c>
      <c r="M199" s="212">
        <f t="shared" si="168"/>
        <v>0</v>
      </c>
      <c r="N199" s="212">
        <f t="shared" si="156"/>
        <v>0</v>
      </c>
      <c r="O199" s="219">
        <f t="shared" si="168"/>
        <v>0</v>
      </c>
      <c r="P199" s="217">
        <f t="shared" si="168"/>
        <v>0</v>
      </c>
      <c r="Q199" s="218">
        <f t="shared" si="168"/>
        <v>0</v>
      </c>
      <c r="R199" s="349"/>
      <c r="S199" s="350"/>
    </row>
    <row r="200" spans="2:19" s="3" customFormat="1">
      <c r="B200" s="150" t="s">
        <v>173</v>
      </c>
      <c r="C200" s="249" t="s">
        <v>328</v>
      </c>
      <c r="D200" s="482">
        <v>2.7179799999999998</v>
      </c>
      <c r="E200" s="153">
        <f t="shared" si="160"/>
        <v>0.6827743958741932</v>
      </c>
      <c r="F200" s="154">
        <f>IFERROR($D200*F$238/100, 0)</f>
        <v>0.16940333760759463</v>
      </c>
      <c r="G200" s="155">
        <f>IFERROR($D200*G$238/100, 0)</f>
        <v>5.5171275551350554E-2</v>
      </c>
      <c r="H200" s="156">
        <f>IFERROR($D200*H$238/100, 0)</f>
        <v>0.45819978271524808</v>
      </c>
      <c r="I200" s="153">
        <f t="shared" si="154"/>
        <v>2.0321705594713655</v>
      </c>
      <c r="J200" s="154">
        <f t="shared" ref="J200:Q200" si="169">IFERROR($D200*J$238/100, 0)</f>
        <v>1.014192051294031</v>
      </c>
      <c r="K200" s="155">
        <f t="shared" si="169"/>
        <v>0.94775103679276396</v>
      </c>
      <c r="L200" s="473">
        <f t="shared" si="169"/>
        <v>7.0227471384570528E-2</v>
      </c>
      <c r="M200" s="153">
        <f t="shared" si="169"/>
        <v>1.2831850362073329E-4</v>
      </c>
      <c r="N200" s="153">
        <f>SUM(O200:P200)</f>
        <v>2.7974347088278013E-3</v>
      </c>
      <c r="O200" s="158">
        <f t="shared" si="169"/>
        <v>2.7974347088278013E-3</v>
      </c>
      <c r="P200" s="156">
        <f t="shared" si="169"/>
        <v>0</v>
      </c>
      <c r="Q200" s="157">
        <f t="shared" si="169"/>
        <v>1.092914419925107E-4</v>
      </c>
      <c r="R200" s="338"/>
      <c r="S200" s="339"/>
    </row>
    <row r="201" spans="2:19" s="3" customFormat="1">
      <c r="B201" s="150" t="s">
        <v>175</v>
      </c>
      <c r="C201" s="210" t="s">
        <v>330</v>
      </c>
      <c r="D201" s="351">
        <f>SUM(D202:D205)</f>
        <v>266.59346000000005</v>
      </c>
      <c r="E201" s="153">
        <f t="shared" si="160"/>
        <v>89.127662107950542</v>
      </c>
      <c r="F201" s="154">
        <f>SUM(F202:F205)</f>
        <v>18.816734148512662</v>
      </c>
      <c r="G201" s="155">
        <f>SUM(G202:G205)</f>
        <v>10.690788286104533</v>
      </c>
      <c r="H201" s="156">
        <f>SUM(H202:H205)</f>
        <v>59.620139673333348</v>
      </c>
      <c r="I201" s="153">
        <f t="shared" si="154"/>
        <v>136.22955599819443</v>
      </c>
      <c r="J201" s="154">
        <f t="shared" ref="J201:Q201" si="170">SUM(J202:J205)</f>
        <v>66.802688682180275</v>
      </c>
      <c r="K201" s="155">
        <f t="shared" si="170"/>
        <v>55.702646553767075</v>
      </c>
      <c r="L201" s="473">
        <f t="shared" si="170"/>
        <v>13.724220762247098</v>
      </c>
      <c r="M201" s="153">
        <f t="shared" si="170"/>
        <v>5.6658183958412822</v>
      </c>
      <c r="N201" s="153">
        <f>SUM(O201:P201)</f>
        <v>32.340843415561231</v>
      </c>
      <c r="O201" s="158">
        <f t="shared" ref="O201:P201" si="171">SUM(O202:O205)</f>
        <v>32.340843415561231</v>
      </c>
      <c r="P201" s="156">
        <f t="shared" si="171"/>
        <v>0</v>
      </c>
      <c r="Q201" s="157">
        <f t="shared" si="170"/>
        <v>3.2295800824525229</v>
      </c>
      <c r="R201" s="338"/>
      <c r="S201" s="339"/>
    </row>
    <row r="202" spans="2:19">
      <c r="B202" s="269" t="s">
        <v>503</v>
      </c>
      <c r="C202" s="270" t="s">
        <v>332</v>
      </c>
      <c r="D202" s="348">
        <v>260.64082000000002</v>
      </c>
      <c r="E202" s="212">
        <f t="shared" si="160"/>
        <v>87.137572453949758</v>
      </c>
      <c r="F202" s="215">
        <f t="shared" ref="F202:H205" si="172">IFERROR($D202*F$237/100, 0)</f>
        <v>18.396584140474946</v>
      </c>
      <c r="G202" s="216">
        <f t="shared" si="172"/>
        <v>10.452078701918195</v>
      </c>
      <c r="H202" s="217">
        <f t="shared" si="172"/>
        <v>58.288909611556619</v>
      </c>
      <c r="I202" s="212">
        <f t="shared" si="154"/>
        <v>133.18775030567261</v>
      </c>
      <c r="J202" s="215">
        <f t="shared" ref="J202:Q205" si="173">IFERROR($D202*J$237/100, 0)</f>
        <v>65.311082861253183</v>
      </c>
      <c r="K202" s="216">
        <f t="shared" si="173"/>
        <v>54.458888353615365</v>
      </c>
      <c r="L202" s="474">
        <f t="shared" si="173"/>
        <v>13.417779090804061</v>
      </c>
      <c r="M202" s="212">
        <f t="shared" si="173"/>
        <v>5.539309001290416</v>
      </c>
      <c r="N202" s="212">
        <f>SUM(O202:P202)</f>
        <v>31.618719931552256</v>
      </c>
      <c r="O202" s="219">
        <f t="shared" si="173"/>
        <v>31.618719931552256</v>
      </c>
      <c r="P202" s="217">
        <f t="shared" si="173"/>
        <v>0</v>
      </c>
      <c r="Q202" s="218">
        <f t="shared" si="173"/>
        <v>3.1574683075349754</v>
      </c>
      <c r="R202" s="349"/>
      <c r="S202" s="350"/>
    </row>
    <row r="203" spans="2:19">
      <c r="B203" s="269" t="s">
        <v>504</v>
      </c>
      <c r="C203" s="270" t="s">
        <v>334</v>
      </c>
      <c r="D203" s="348">
        <v>4.9187799999999999</v>
      </c>
      <c r="E203" s="212">
        <f t="shared" si="160"/>
        <v>1.6444490492127786</v>
      </c>
      <c r="F203" s="215">
        <f t="shared" si="172"/>
        <v>0.34717796751286056</v>
      </c>
      <c r="G203" s="216">
        <f t="shared" si="172"/>
        <v>0.19725028365634045</v>
      </c>
      <c r="H203" s="217">
        <f t="shared" si="172"/>
        <v>1.1000207980435774</v>
      </c>
      <c r="I203" s="212">
        <f t="shared" si="154"/>
        <v>2.5135020771057128</v>
      </c>
      <c r="J203" s="215">
        <f t="shared" si="173"/>
        <v>1.2325423475734725</v>
      </c>
      <c r="K203" s="216">
        <f t="shared" si="173"/>
        <v>1.0277411299427164</v>
      </c>
      <c r="L203" s="474">
        <f t="shared" si="173"/>
        <v>0.25321859958952397</v>
      </c>
      <c r="M203" s="212">
        <f t="shared" si="173"/>
        <v>0.10453712633871881</v>
      </c>
      <c r="N203" s="212">
        <f t="shared" ref="N203:N205" si="174">SUM(O203:P203)</f>
        <v>0.5967044119371655</v>
      </c>
      <c r="O203" s="219">
        <f t="shared" si="173"/>
        <v>0.5967044119371655</v>
      </c>
      <c r="P203" s="217">
        <f t="shared" si="173"/>
        <v>0</v>
      </c>
      <c r="Q203" s="218">
        <f t="shared" si="173"/>
        <v>5.9587335405624053E-2</v>
      </c>
      <c r="R203" s="349"/>
      <c r="S203" s="350"/>
    </row>
    <row r="204" spans="2:19">
      <c r="B204" s="269" t="s">
        <v>505</v>
      </c>
      <c r="C204" s="270" t="s">
        <v>336</v>
      </c>
      <c r="D204" s="348">
        <v>9.5240000000000005E-2</v>
      </c>
      <c r="E204" s="212">
        <f t="shared" si="160"/>
        <v>3.1840685586065051E-2</v>
      </c>
      <c r="F204" s="215">
        <f t="shared" si="172"/>
        <v>6.7222420246331096E-3</v>
      </c>
      <c r="G204" s="216">
        <f t="shared" si="172"/>
        <v>3.8192635196999795E-3</v>
      </c>
      <c r="H204" s="217">
        <f t="shared" si="172"/>
        <v>2.1299180041731959E-2</v>
      </c>
      <c r="I204" s="212">
        <f t="shared" si="154"/>
        <v>4.8667746437845993E-2</v>
      </c>
      <c r="J204" s="215">
        <f t="shared" si="173"/>
        <v>2.3865131838158554E-2</v>
      </c>
      <c r="K204" s="216">
        <f t="shared" si="173"/>
        <v>1.9899663171710123E-2</v>
      </c>
      <c r="L204" s="474">
        <f t="shared" si="173"/>
        <v>4.9029514279773159E-3</v>
      </c>
      <c r="M204" s="212">
        <f t="shared" si="173"/>
        <v>2.0241027068703173E-3</v>
      </c>
      <c r="N204" s="212">
        <f t="shared" si="174"/>
        <v>1.1553704006460067E-2</v>
      </c>
      <c r="O204" s="219">
        <f t="shared" si="173"/>
        <v>1.1553704006460067E-2</v>
      </c>
      <c r="P204" s="217">
        <f t="shared" si="173"/>
        <v>0</v>
      </c>
      <c r="Q204" s="218">
        <f t="shared" si="173"/>
        <v>1.1537612627585772E-3</v>
      </c>
      <c r="R204" s="349"/>
      <c r="S204" s="350"/>
    </row>
    <row r="205" spans="2:19">
      <c r="B205" s="269" t="s">
        <v>506</v>
      </c>
      <c r="C205" s="270" t="s">
        <v>338</v>
      </c>
      <c r="D205" s="348">
        <v>0.93862000000000001</v>
      </c>
      <c r="E205" s="212">
        <f t="shared" si="160"/>
        <v>0.3137999192019359</v>
      </c>
      <c r="F205" s="215">
        <f t="shared" si="172"/>
        <v>6.6249798500221849E-2</v>
      </c>
      <c r="G205" s="216">
        <f t="shared" si="172"/>
        <v>3.7640037010298139E-2</v>
      </c>
      <c r="H205" s="217">
        <f t="shared" si="172"/>
        <v>0.20991008369141589</v>
      </c>
      <c r="I205" s="212">
        <f t="shared" si="154"/>
        <v>0.47963586897827604</v>
      </c>
      <c r="J205" s="215">
        <f t="shared" si="173"/>
        <v>0.23519834151545968</v>
      </c>
      <c r="K205" s="216">
        <f t="shared" si="173"/>
        <v>0.19611740703728009</v>
      </c>
      <c r="L205" s="474">
        <f t="shared" si="173"/>
        <v>4.8320120425536212E-2</v>
      </c>
      <c r="M205" s="212">
        <f t="shared" si="173"/>
        <v>1.9948165505277372E-2</v>
      </c>
      <c r="N205" s="212">
        <f t="shared" si="174"/>
        <v>0.11386536806534593</v>
      </c>
      <c r="O205" s="219">
        <f t="shared" si="173"/>
        <v>0.11386536806534593</v>
      </c>
      <c r="P205" s="217">
        <f t="shared" si="173"/>
        <v>0</v>
      </c>
      <c r="Q205" s="218">
        <f t="shared" si="173"/>
        <v>1.1370678249164802E-2</v>
      </c>
      <c r="R205" s="349"/>
      <c r="S205" s="350"/>
    </row>
    <row r="206" spans="2:19" s="3" customFormat="1">
      <c r="B206" s="150" t="s">
        <v>177</v>
      </c>
      <c r="C206" s="210" t="s">
        <v>340</v>
      </c>
      <c r="D206" s="351">
        <f>SUM(D207:D209)</f>
        <v>1.53884</v>
      </c>
      <c r="E206" s="153">
        <f t="shared" si="160"/>
        <v>0.51446577706069241</v>
      </c>
      <c r="F206" s="154">
        <f>SUM(F207:F209)</f>
        <v>0.10861460433837057</v>
      </c>
      <c r="G206" s="155">
        <f>SUM(G207:G209)</f>
        <v>6.1709738289112942E-2</v>
      </c>
      <c r="H206" s="156">
        <f>SUM(H207:H209)</f>
        <v>0.34414143443320883</v>
      </c>
      <c r="I206" s="153">
        <f t="shared" si="154"/>
        <v>0.7863489597691613</v>
      </c>
      <c r="J206" s="154">
        <f t="shared" ref="J206:Q206" si="175">SUM(J207:J209)</f>
        <v>0.38560079250138496</v>
      </c>
      <c r="K206" s="155">
        <f t="shared" si="175"/>
        <v>0.32152874501422102</v>
      </c>
      <c r="L206" s="473">
        <f t="shared" si="175"/>
        <v>7.9219422253555369E-2</v>
      </c>
      <c r="M206" s="153">
        <f t="shared" si="175"/>
        <v>3.2704433110461138E-2</v>
      </c>
      <c r="N206" s="153">
        <f>SUM(O206:P206)</f>
        <v>0.18667893609093877</v>
      </c>
      <c r="O206" s="158">
        <f t="shared" ref="O206:P206" si="176">SUM(O207:O209)</f>
        <v>0.18667893609093877</v>
      </c>
      <c r="P206" s="156">
        <f t="shared" si="176"/>
        <v>0</v>
      </c>
      <c r="Q206" s="157">
        <f t="shared" si="175"/>
        <v>1.864189396874642E-2</v>
      </c>
      <c r="R206" s="338"/>
      <c r="S206" s="339"/>
    </row>
    <row r="207" spans="2:19">
      <c r="B207" s="269" t="s">
        <v>507</v>
      </c>
      <c r="C207" s="270" t="s">
        <v>346</v>
      </c>
      <c r="D207" s="348">
        <v>1.4410000000000001</v>
      </c>
      <c r="E207" s="212">
        <f t="shared" si="160"/>
        <v>0.48175585814279431</v>
      </c>
      <c r="F207" s="215">
        <f t="shared" ref="F207:H209" si="177">IFERROR($D207*F$237/100, 0)</f>
        <v>0.10170884877673572</v>
      </c>
      <c r="G207" s="216">
        <f t="shared" si="177"/>
        <v>5.7786210960601332E-2</v>
      </c>
      <c r="H207" s="217">
        <f t="shared" si="177"/>
        <v>0.32226079840545729</v>
      </c>
      <c r="I207" s="212">
        <f t="shared" si="154"/>
        <v>0.73635261042562039</v>
      </c>
      <c r="J207" s="215">
        <f t="shared" ref="J207:Q209" si="178">IFERROR($D207*J$237/100, 0)</f>
        <v>0.36108415559414608</v>
      </c>
      <c r="K207" s="216">
        <f t="shared" si="178"/>
        <v>0.30108583190292199</v>
      </c>
      <c r="L207" s="474">
        <f t="shared" si="178"/>
        <v>7.4182622928552211E-2</v>
      </c>
      <c r="M207" s="212">
        <f t="shared" si="178"/>
        <v>3.0625073504831238E-2</v>
      </c>
      <c r="N207" s="212">
        <f>SUM(O207:P207)</f>
        <v>0.17480982227329858</v>
      </c>
      <c r="O207" s="219">
        <f t="shared" si="178"/>
        <v>0.17480982227329858</v>
      </c>
      <c r="P207" s="217">
        <f t="shared" si="178"/>
        <v>0</v>
      </c>
      <c r="Q207" s="218">
        <f t="shared" si="178"/>
        <v>1.7456635653455583E-2</v>
      </c>
      <c r="R207" s="349"/>
      <c r="S207" s="350"/>
    </row>
    <row r="208" spans="2:19">
      <c r="B208" s="272" t="s">
        <v>508</v>
      </c>
      <c r="C208" s="270" t="s">
        <v>348</v>
      </c>
      <c r="D208" s="355">
        <v>0</v>
      </c>
      <c r="E208" s="212">
        <f t="shared" si="160"/>
        <v>0</v>
      </c>
      <c r="F208" s="215">
        <f t="shared" si="177"/>
        <v>0</v>
      </c>
      <c r="G208" s="216">
        <f t="shared" si="177"/>
        <v>0</v>
      </c>
      <c r="H208" s="217">
        <f t="shared" si="177"/>
        <v>0</v>
      </c>
      <c r="I208" s="212">
        <f t="shared" si="154"/>
        <v>0</v>
      </c>
      <c r="J208" s="215">
        <f t="shared" si="178"/>
        <v>0</v>
      </c>
      <c r="K208" s="216">
        <f t="shared" si="178"/>
        <v>0</v>
      </c>
      <c r="L208" s="474">
        <f t="shared" si="178"/>
        <v>0</v>
      </c>
      <c r="M208" s="212">
        <f t="shared" si="178"/>
        <v>0</v>
      </c>
      <c r="N208" s="212">
        <f t="shared" ref="N208:N209" si="179">SUM(O208:P208)</f>
        <v>0</v>
      </c>
      <c r="O208" s="219">
        <f t="shared" si="178"/>
        <v>0</v>
      </c>
      <c r="P208" s="217">
        <f t="shared" si="178"/>
        <v>0</v>
      </c>
      <c r="Q208" s="218">
        <f t="shared" si="178"/>
        <v>0</v>
      </c>
      <c r="R208" s="349"/>
      <c r="S208" s="350"/>
    </row>
    <row r="209" spans="2:19">
      <c r="B209" s="272" t="s">
        <v>509</v>
      </c>
      <c r="C209" s="260" t="s">
        <v>350</v>
      </c>
      <c r="D209" s="348">
        <v>9.7839999999999996E-2</v>
      </c>
      <c r="E209" s="212">
        <f t="shared" si="160"/>
        <v>3.2709918917897984E-2</v>
      </c>
      <c r="F209" s="215">
        <f t="shared" si="177"/>
        <v>6.9057555616348519E-3</v>
      </c>
      <c r="G209" s="216">
        <f t="shared" si="177"/>
        <v>3.9235273285116133E-3</v>
      </c>
      <c r="H209" s="217">
        <f t="shared" si="177"/>
        <v>2.1880636027751518E-2</v>
      </c>
      <c r="I209" s="212">
        <f t="shared" si="154"/>
        <v>4.9996349343541073E-2</v>
      </c>
      <c r="J209" s="215">
        <f t="shared" si="178"/>
        <v>2.4516636907238896E-2</v>
      </c>
      <c r="K209" s="216">
        <f t="shared" si="178"/>
        <v>2.0442913111299019E-2</v>
      </c>
      <c r="L209" s="474">
        <f t="shared" si="178"/>
        <v>5.0367993250031561E-3</v>
      </c>
      <c r="M209" s="212">
        <f t="shared" si="178"/>
        <v>2.0793596056299015E-3</v>
      </c>
      <c r="N209" s="212">
        <f t="shared" si="179"/>
        <v>1.1869113817640199E-2</v>
      </c>
      <c r="O209" s="219">
        <f t="shared" si="178"/>
        <v>1.1869113817640199E-2</v>
      </c>
      <c r="P209" s="217">
        <f t="shared" si="178"/>
        <v>0</v>
      </c>
      <c r="Q209" s="218">
        <f t="shared" si="178"/>
        <v>1.1852583152908358E-3</v>
      </c>
      <c r="R209" s="349"/>
      <c r="S209" s="350"/>
    </row>
    <row r="210" spans="2:19" s="3" customFormat="1">
      <c r="B210" s="150" t="s">
        <v>179</v>
      </c>
      <c r="C210" s="210" t="s">
        <v>352</v>
      </c>
      <c r="D210" s="351">
        <f>SUM(D211:D212)</f>
        <v>2.3076300000000001</v>
      </c>
      <c r="E210" s="153">
        <f t="shared" si="160"/>
        <v>0.77148804366832513</v>
      </c>
      <c r="F210" s="154">
        <f>SUM(F211:F212)</f>
        <v>0.16287743976589775</v>
      </c>
      <c r="G210" s="155">
        <f>SUM(G211:G212)</f>
        <v>9.2539343510765051E-2</v>
      </c>
      <c r="H210" s="156">
        <f>SUM(H211:H212)</f>
        <v>0.51607126039166229</v>
      </c>
      <c r="I210" s="153">
        <f t="shared" si="154"/>
        <v>1.1792015089496697</v>
      </c>
      <c r="J210" s="154">
        <f t="shared" ref="J210:Q210" si="180">SUM(J211:J212)</f>
        <v>0.57824332406226187</v>
      </c>
      <c r="K210" s="155">
        <f t="shared" si="180"/>
        <v>0.48216148388212338</v>
      </c>
      <c r="L210" s="473">
        <f t="shared" si="180"/>
        <v>0.11879670100528449</v>
      </c>
      <c r="M210" s="153">
        <f t="shared" si="180"/>
        <v>4.9043260494069194E-2</v>
      </c>
      <c r="N210" s="153">
        <f>SUM(O210:P210)</f>
        <v>0.27994197791292985</v>
      </c>
      <c r="O210" s="158">
        <f t="shared" ref="O210:P210" si="181">SUM(O211:O212)</f>
        <v>0.27994197791292985</v>
      </c>
      <c r="P210" s="156">
        <f t="shared" si="181"/>
        <v>0</v>
      </c>
      <c r="Q210" s="157">
        <f t="shared" si="180"/>
        <v>2.7955208975006043E-2</v>
      </c>
      <c r="R210" s="338"/>
      <c r="S210" s="339"/>
    </row>
    <row r="211" spans="2:19">
      <c r="B211" s="269" t="s">
        <v>510</v>
      </c>
      <c r="C211" s="270" t="s">
        <v>354</v>
      </c>
      <c r="D211" s="348">
        <v>2.3076300000000001</v>
      </c>
      <c r="E211" s="212">
        <f t="shared" si="160"/>
        <v>0.77148804366832513</v>
      </c>
      <c r="F211" s="215">
        <f t="shared" ref="F211:H212" si="182">IFERROR($D211*F$237/100, 0)</f>
        <v>0.16287743976589775</v>
      </c>
      <c r="G211" s="216">
        <f t="shared" si="182"/>
        <v>9.2539343510765051E-2</v>
      </c>
      <c r="H211" s="217">
        <f t="shared" si="182"/>
        <v>0.51607126039166229</v>
      </c>
      <c r="I211" s="212">
        <f t="shared" si="154"/>
        <v>1.1792015089496697</v>
      </c>
      <c r="J211" s="215">
        <f t="shared" ref="J211:Q212" si="183">IFERROR($D211*J$237/100, 0)</f>
        <v>0.57824332406226187</v>
      </c>
      <c r="K211" s="216">
        <f t="shared" si="183"/>
        <v>0.48216148388212338</v>
      </c>
      <c r="L211" s="474">
        <f t="shared" si="183"/>
        <v>0.11879670100528449</v>
      </c>
      <c r="M211" s="212">
        <f t="shared" si="183"/>
        <v>4.9043260494069194E-2</v>
      </c>
      <c r="N211" s="212">
        <f>SUM(O211:P211)</f>
        <v>0.27994197791292985</v>
      </c>
      <c r="O211" s="219">
        <f t="shared" si="183"/>
        <v>0.27994197791292985</v>
      </c>
      <c r="P211" s="217">
        <f t="shared" si="183"/>
        <v>0</v>
      </c>
      <c r="Q211" s="218">
        <f t="shared" si="183"/>
        <v>2.7955208975006043E-2</v>
      </c>
      <c r="R211" s="349"/>
      <c r="S211" s="350"/>
    </row>
    <row r="212" spans="2:19">
      <c r="B212" s="272" t="s">
        <v>511</v>
      </c>
      <c r="C212" s="260" t="s">
        <v>512</v>
      </c>
      <c r="D212" s="348">
        <v>0</v>
      </c>
      <c r="E212" s="212">
        <f t="shared" si="160"/>
        <v>0</v>
      </c>
      <c r="F212" s="215">
        <f t="shared" si="182"/>
        <v>0</v>
      </c>
      <c r="G212" s="216">
        <f t="shared" si="182"/>
        <v>0</v>
      </c>
      <c r="H212" s="217">
        <f t="shared" si="182"/>
        <v>0</v>
      </c>
      <c r="I212" s="212">
        <f t="shared" si="154"/>
        <v>0</v>
      </c>
      <c r="J212" s="215">
        <f t="shared" si="183"/>
        <v>0</v>
      </c>
      <c r="K212" s="216">
        <f t="shared" si="183"/>
        <v>0</v>
      </c>
      <c r="L212" s="474">
        <f t="shared" si="183"/>
        <v>0</v>
      </c>
      <c r="M212" s="212">
        <f t="shared" si="183"/>
        <v>0</v>
      </c>
      <c r="N212" s="212">
        <f>SUM(O212:P212)</f>
        <v>0</v>
      </c>
      <c r="O212" s="219">
        <f t="shared" si="183"/>
        <v>0</v>
      </c>
      <c r="P212" s="217">
        <f t="shared" si="183"/>
        <v>0</v>
      </c>
      <c r="Q212" s="218">
        <f t="shared" si="183"/>
        <v>0</v>
      </c>
      <c r="R212" s="349"/>
      <c r="S212" s="350"/>
    </row>
    <row r="213" spans="2:19" s="3" customFormat="1">
      <c r="B213" s="150" t="s">
        <v>181</v>
      </c>
      <c r="C213" s="210" t="s">
        <v>358</v>
      </c>
      <c r="D213" s="351">
        <f>SUM(D214:D228)</f>
        <v>66.556139999999999</v>
      </c>
      <c r="E213" s="153">
        <f t="shared" si="160"/>
        <v>22.251082817745981</v>
      </c>
      <c r="F213" s="154">
        <f>SUM(F214:F228)</f>
        <v>4.6976741002243241</v>
      </c>
      <c r="G213" s="155">
        <f>SUM(G214:G228)</f>
        <v>2.6689987139231897</v>
      </c>
      <c r="H213" s="156">
        <f>SUM(H214:H228)</f>
        <v>14.884410003598468</v>
      </c>
      <c r="I213" s="153">
        <f t="shared" si="154"/>
        <v>34.01026192148025</v>
      </c>
      <c r="J213" s="154">
        <f t="shared" ref="J213:Q213" si="184">SUM(J214:J228)</f>
        <v>16.677562534008167</v>
      </c>
      <c r="K213" s="155">
        <f t="shared" si="184"/>
        <v>13.906391936257698</v>
      </c>
      <c r="L213" s="473">
        <f t="shared" si="184"/>
        <v>3.4263074512143863</v>
      </c>
      <c r="M213" s="153">
        <f t="shared" si="184"/>
        <v>1.4144945730033578</v>
      </c>
      <c r="N213" s="153">
        <f>SUM(O213:P213)</f>
        <v>8.0740229039533489</v>
      </c>
      <c r="O213" s="158">
        <f t="shared" ref="O213:P213" si="185">SUM(O214:O228)</f>
        <v>8.0740229039533489</v>
      </c>
      <c r="P213" s="156">
        <f t="shared" si="185"/>
        <v>0</v>
      </c>
      <c r="Q213" s="157">
        <f t="shared" si="184"/>
        <v>0.8062777838170585</v>
      </c>
      <c r="R213" s="338"/>
      <c r="S213" s="339"/>
    </row>
    <row r="214" spans="2:19">
      <c r="B214" s="269" t="s">
        <v>513</v>
      </c>
      <c r="C214" s="270" t="s">
        <v>360</v>
      </c>
      <c r="D214" s="348">
        <v>5.0522499999999999</v>
      </c>
      <c r="E214" s="212">
        <f t="shared" si="160"/>
        <v>1.6890708079819101</v>
      </c>
      <c r="F214" s="215">
        <f t="shared" ref="F214:H229" si="186">IFERROR($D214*F$237/100, 0)</f>
        <v>0.35659856435271547</v>
      </c>
      <c r="G214" s="216">
        <f t="shared" si="186"/>
        <v>0.20260262618022071</v>
      </c>
      <c r="H214" s="217">
        <f t="shared" si="186"/>
        <v>1.129869617448974</v>
      </c>
      <c r="I214" s="212">
        <f t="shared" si="154"/>
        <v>2.5817053962684522</v>
      </c>
      <c r="J214" s="215">
        <f t="shared" ref="J214:Q229" si="187">IFERROR($D214*J$237/100, 0)</f>
        <v>1.2659871097158393</v>
      </c>
      <c r="K214" s="216">
        <f t="shared" si="187"/>
        <v>1.0556286566492279</v>
      </c>
      <c r="L214" s="474">
        <f t="shared" si="187"/>
        <v>0.26008962990338508</v>
      </c>
      <c r="M214" s="212">
        <f t="shared" si="187"/>
        <v>0.10737371798388869</v>
      </c>
      <c r="N214" s="212">
        <f>SUM(O214:P214)</f>
        <v>0.61289585328263196</v>
      </c>
      <c r="O214" s="219">
        <f t="shared" si="187"/>
        <v>0.61289585328263196</v>
      </c>
      <c r="P214" s="217">
        <f t="shared" si="187"/>
        <v>0</v>
      </c>
      <c r="Q214" s="218">
        <f t="shared" si="187"/>
        <v>6.1204224483116569E-2</v>
      </c>
      <c r="R214" s="349"/>
      <c r="S214" s="350"/>
    </row>
    <row r="215" spans="2:19">
      <c r="B215" s="269" t="s">
        <v>514</v>
      </c>
      <c r="C215" s="270" t="s">
        <v>362</v>
      </c>
      <c r="D215" s="348">
        <v>0.12130000000000001</v>
      </c>
      <c r="E215" s="212">
        <f t="shared" si="160"/>
        <v>4.0553078135129039E-2</v>
      </c>
      <c r="F215" s="215">
        <f t="shared" si="186"/>
        <v>8.5616123224275115E-3</v>
      </c>
      <c r="G215" s="216">
        <f t="shared" si="186"/>
        <v>4.8643076957119655E-3</v>
      </c>
      <c r="H215" s="217">
        <f t="shared" si="186"/>
        <v>2.7127158116989566E-2</v>
      </c>
      <c r="I215" s="212">
        <f t="shared" si="154"/>
        <v>6.1984435561851306E-2</v>
      </c>
      <c r="J215" s="215">
        <f t="shared" si="187"/>
        <v>3.0395217261325415E-2</v>
      </c>
      <c r="K215" s="216">
        <f t="shared" si="187"/>
        <v>2.5344699104666506E-2</v>
      </c>
      <c r="L215" s="474">
        <f t="shared" si="187"/>
        <v>6.2445191958593917E-3</v>
      </c>
      <c r="M215" s="212">
        <f t="shared" si="187"/>
        <v>2.577946853668306E-3</v>
      </c>
      <c r="N215" s="212">
        <f t="shared" ref="N215:N228" si="188">SUM(O215:P215)</f>
        <v>1.4715080806211738E-2</v>
      </c>
      <c r="O215" s="219">
        <f t="shared" si="187"/>
        <v>1.4715080806211738E-2</v>
      </c>
      <c r="P215" s="217">
        <f t="shared" si="187"/>
        <v>0</v>
      </c>
      <c r="Q215" s="218">
        <f t="shared" si="187"/>
        <v>1.4694586431395992E-3</v>
      </c>
      <c r="R215" s="349"/>
      <c r="S215" s="350"/>
    </row>
    <row r="216" spans="2:19">
      <c r="B216" s="269" t="s">
        <v>515</v>
      </c>
      <c r="C216" s="270" t="s">
        <v>364</v>
      </c>
      <c r="D216" s="348">
        <v>13.6</v>
      </c>
      <c r="E216" s="212">
        <f t="shared" si="160"/>
        <v>4.5467589665107582</v>
      </c>
      <c r="F216" s="215">
        <f t="shared" si="186"/>
        <v>0.95991696277835237</v>
      </c>
      <c r="G216" s="216">
        <f t="shared" si="186"/>
        <v>0.54537992301469673</v>
      </c>
      <c r="H216" s="217">
        <f t="shared" si="186"/>
        <v>3.0414620807177091</v>
      </c>
      <c r="I216" s="212">
        <f t="shared" si="154"/>
        <v>6.9496151990204273</v>
      </c>
      <c r="J216" s="215">
        <f t="shared" si="187"/>
        <v>3.4078726690356604</v>
      </c>
      <c r="K216" s="216">
        <f t="shared" si="187"/>
        <v>2.8416150686188333</v>
      </c>
      <c r="L216" s="474">
        <f t="shared" si="187"/>
        <v>0.7001274613659334</v>
      </c>
      <c r="M216" s="212">
        <f t="shared" si="187"/>
        <v>0.28903608581936491</v>
      </c>
      <c r="N216" s="212">
        <f t="shared" si="188"/>
        <v>1.649835935403789</v>
      </c>
      <c r="O216" s="219">
        <f t="shared" si="187"/>
        <v>1.649835935403789</v>
      </c>
      <c r="P216" s="217">
        <f t="shared" si="187"/>
        <v>0</v>
      </c>
      <c r="Q216" s="218">
        <f t="shared" si="187"/>
        <v>0.16475381324565991</v>
      </c>
      <c r="R216" s="349"/>
      <c r="S216" s="350"/>
    </row>
    <row r="217" spans="2:19">
      <c r="B217" s="269" t="s">
        <v>516</v>
      </c>
      <c r="C217" s="270" t="s">
        <v>366</v>
      </c>
      <c r="D217" s="348">
        <v>5.6415199999999999</v>
      </c>
      <c r="E217" s="212">
        <f t="shared" si="160"/>
        <v>1.8860758562316009</v>
      </c>
      <c r="F217" s="215">
        <f t="shared" si="186"/>
        <v>0.39819049587156841</v>
      </c>
      <c r="G217" s="216">
        <f t="shared" si="186"/>
        <v>0.22623321641807884</v>
      </c>
      <c r="H217" s="217">
        <f t="shared" si="186"/>
        <v>1.2616521439419537</v>
      </c>
      <c r="I217" s="212">
        <f t="shared" si="154"/>
        <v>2.8828230248218913</v>
      </c>
      <c r="J217" s="215">
        <f t="shared" si="187"/>
        <v>1.4136457220454455</v>
      </c>
      <c r="K217" s="216">
        <f t="shared" si="187"/>
        <v>1.1787520766113617</v>
      </c>
      <c r="L217" s="474">
        <f t="shared" si="187"/>
        <v>0.29042522616508387</v>
      </c>
      <c r="M217" s="212">
        <f t="shared" si="187"/>
        <v>0.11989726903468113</v>
      </c>
      <c r="N217" s="212">
        <f t="shared" si="188"/>
        <v>0.68438106075729299</v>
      </c>
      <c r="O217" s="219">
        <f t="shared" si="187"/>
        <v>0.68438106075729299</v>
      </c>
      <c r="P217" s="217">
        <f t="shared" si="187"/>
        <v>0</v>
      </c>
      <c r="Q217" s="218">
        <f t="shared" si="187"/>
        <v>6.8342789154533484E-2</v>
      </c>
      <c r="R217" s="349"/>
      <c r="S217" s="350"/>
    </row>
    <row r="218" spans="2:19">
      <c r="B218" s="269" t="s">
        <v>517</v>
      </c>
      <c r="C218" s="270" t="s">
        <v>368</v>
      </c>
      <c r="D218" s="348">
        <v>0.22384999999999999</v>
      </c>
      <c r="E218" s="212">
        <f t="shared" si="160"/>
        <v>7.4837646665693619E-2</v>
      </c>
      <c r="F218" s="215">
        <f t="shared" si="186"/>
        <v>1.5799809714553983E-2</v>
      </c>
      <c r="G218" s="216">
        <f t="shared" si="186"/>
        <v>8.9767129240323432E-3</v>
      </c>
      <c r="H218" s="217">
        <f t="shared" si="186"/>
        <v>5.0061124027107294E-2</v>
      </c>
      <c r="I218" s="212">
        <f t="shared" si="154"/>
        <v>0.11438760016917078</v>
      </c>
      <c r="J218" s="215">
        <f t="shared" si="187"/>
        <v>5.6092080659090632E-2</v>
      </c>
      <c r="K218" s="216">
        <f t="shared" si="187"/>
        <v>4.6771730375759255E-2</v>
      </c>
      <c r="L218" s="474">
        <f t="shared" si="187"/>
        <v>1.1523789134320896E-2</v>
      </c>
      <c r="M218" s="212">
        <f t="shared" si="187"/>
        <v>4.7574064566665323E-3</v>
      </c>
      <c r="N218" s="212">
        <f t="shared" si="188"/>
        <v>2.7155571627951337E-2</v>
      </c>
      <c r="O218" s="219">
        <f t="shared" si="187"/>
        <v>2.7155571627951337E-2</v>
      </c>
      <c r="P218" s="217">
        <f t="shared" si="187"/>
        <v>0</v>
      </c>
      <c r="Q218" s="218">
        <f t="shared" si="187"/>
        <v>2.7117750805177184E-3</v>
      </c>
      <c r="R218" s="349"/>
      <c r="S218" s="350"/>
    </row>
    <row r="219" spans="2:19">
      <c r="B219" s="269" t="s">
        <v>518</v>
      </c>
      <c r="C219" s="270" t="s">
        <v>370</v>
      </c>
      <c r="D219" s="348">
        <v>3.1793900000000002</v>
      </c>
      <c r="E219" s="212">
        <f t="shared" si="160"/>
        <v>1.0629352934216647</v>
      </c>
      <c r="F219" s="215">
        <f t="shared" si="186"/>
        <v>0.22440811707999014</v>
      </c>
      <c r="G219" s="216">
        <f t="shared" si="186"/>
        <v>0.12749819657600714</v>
      </c>
      <c r="H219" s="217">
        <f t="shared" si="186"/>
        <v>0.71102897976566748</v>
      </c>
      <c r="I219" s="212">
        <f t="shared" si="154"/>
        <v>1.6246718432068792</v>
      </c>
      <c r="J219" s="215">
        <f t="shared" si="187"/>
        <v>0.79668796214744775</v>
      </c>
      <c r="K219" s="216">
        <f t="shared" si="187"/>
        <v>0.6643090097805906</v>
      </c>
      <c r="L219" s="474">
        <f t="shared" si="187"/>
        <v>0.16367487127884084</v>
      </c>
      <c r="M219" s="212">
        <f t="shared" si="187"/>
        <v>6.7570473595090483E-2</v>
      </c>
      <c r="N219" s="212">
        <f t="shared" si="188"/>
        <v>0.38569646137231273</v>
      </c>
      <c r="O219" s="219">
        <f t="shared" si="187"/>
        <v>0.38569646137231273</v>
      </c>
      <c r="P219" s="217">
        <f t="shared" si="187"/>
        <v>0</v>
      </c>
      <c r="Q219" s="218">
        <f t="shared" si="187"/>
        <v>3.8515928404052845E-2</v>
      </c>
      <c r="R219" s="349"/>
      <c r="S219" s="350"/>
    </row>
    <row r="220" spans="2:19">
      <c r="B220" s="269" t="s">
        <v>519</v>
      </c>
      <c r="C220" s="270" t="s">
        <v>372</v>
      </c>
      <c r="D220" s="348">
        <v>0</v>
      </c>
      <c r="E220" s="212">
        <f t="shared" si="160"/>
        <v>0</v>
      </c>
      <c r="F220" s="215">
        <f t="shared" si="186"/>
        <v>0</v>
      </c>
      <c r="G220" s="216">
        <f t="shared" si="186"/>
        <v>0</v>
      </c>
      <c r="H220" s="217">
        <f t="shared" si="186"/>
        <v>0</v>
      </c>
      <c r="I220" s="212">
        <f t="shared" si="154"/>
        <v>0</v>
      </c>
      <c r="J220" s="215">
        <f t="shared" si="187"/>
        <v>0</v>
      </c>
      <c r="K220" s="216">
        <f t="shared" si="187"/>
        <v>0</v>
      </c>
      <c r="L220" s="474">
        <f t="shared" si="187"/>
        <v>0</v>
      </c>
      <c r="M220" s="212">
        <f t="shared" si="187"/>
        <v>0</v>
      </c>
      <c r="N220" s="212">
        <f t="shared" si="188"/>
        <v>0</v>
      </c>
      <c r="O220" s="219">
        <f t="shared" si="187"/>
        <v>0</v>
      </c>
      <c r="P220" s="217">
        <f t="shared" si="187"/>
        <v>0</v>
      </c>
      <c r="Q220" s="218">
        <f t="shared" si="187"/>
        <v>0</v>
      </c>
      <c r="R220" s="349"/>
      <c r="S220" s="350"/>
    </row>
    <row r="221" spans="2:19">
      <c r="B221" s="269" t="s">
        <v>520</v>
      </c>
      <c r="C221" s="270" t="s">
        <v>374</v>
      </c>
      <c r="D221" s="348">
        <v>1.12134</v>
      </c>
      <c r="E221" s="212">
        <f t="shared" si="160"/>
        <v>0.3748869631990569</v>
      </c>
      <c r="F221" s="215">
        <f t="shared" si="186"/>
        <v>7.9146565223667475E-2</v>
      </c>
      <c r="G221" s="216">
        <f t="shared" si="186"/>
        <v>4.4967376681860308E-2</v>
      </c>
      <c r="H221" s="217">
        <f t="shared" si="186"/>
        <v>0.25077302129352913</v>
      </c>
      <c r="I221" s="212">
        <f t="shared" si="154"/>
        <v>0.57300599318158563</v>
      </c>
      <c r="J221" s="215">
        <f t="shared" si="187"/>
        <v>0.28098411313944466</v>
      </c>
      <c r="K221" s="216">
        <f t="shared" si="187"/>
        <v>0.23429534125331195</v>
      </c>
      <c r="L221" s="474">
        <f t="shared" si="187"/>
        <v>5.7726538788829107E-2</v>
      </c>
      <c r="M221" s="212">
        <f t="shared" si="187"/>
        <v>2.3831450328874015E-2</v>
      </c>
      <c r="N221" s="212">
        <f t="shared" si="188"/>
        <v>0.13603139910335918</v>
      </c>
      <c r="O221" s="219">
        <f t="shared" si="187"/>
        <v>0.13603139910335918</v>
      </c>
      <c r="P221" s="217">
        <f t="shared" si="187"/>
        <v>0</v>
      </c>
      <c r="Q221" s="218">
        <f t="shared" si="187"/>
        <v>1.3584194187124138E-2</v>
      </c>
      <c r="R221" s="349"/>
      <c r="S221" s="350"/>
    </row>
    <row r="222" spans="2:19">
      <c r="B222" s="269" t="s">
        <v>521</v>
      </c>
      <c r="C222" s="270" t="s">
        <v>376</v>
      </c>
      <c r="D222" s="348">
        <v>0</v>
      </c>
      <c r="E222" s="212">
        <f t="shared" si="160"/>
        <v>0</v>
      </c>
      <c r="F222" s="215">
        <f t="shared" si="186"/>
        <v>0</v>
      </c>
      <c r="G222" s="216">
        <f t="shared" si="186"/>
        <v>0</v>
      </c>
      <c r="H222" s="217">
        <f t="shared" si="186"/>
        <v>0</v>
      </c>
      <c r="I222" s="212">
        <f t="shared" si="154"/>
        <v>0</v>
      </c>
      <c r="J222" s="215">
        <f t="shared" si="187"/>
        <v>0</v>
      </c>
      <c r="K222" s="216">
        <f t="shared" si="187"/>
        <v>0</v>
      </c>
      <c r="L222" s="474">
        <f t="shared" si="187"/>
        <v>0</v>
      </c>
      <c r="M222" s="212">
        <f t="shared" si="187"/>
        <v>0</v>
      </c>
      <c r="N222" s="212">
        <f t="shared" si="188"/>
        <v>0</v>
      </c>
      <c r="O222" s="219">
        <f t="shared" si="187"/>
        <v>0</v>
      </c>
      <c r="P222" s="217">
        <f t="shared" si="187"/>
        <v>0</v>
      </c>
      <c r="Q222" s="218">
        <f t="shared" si="187"/>
        <v>0</v>
      </c>
      <c r="R222" s="349"/>
      <c r="S222" s="350"/>
    </row>
    <row r="223" spans="2:19">
      <c r="B223" s="269" t="s">
        <v>522</v>
      </c>
      <c r="C223" s="270" t="s">
        <v>378</v>
      </c>
      <c r="D223" s="348">
        <v>3.3</v>
      </c>
      <c r="E223" s="212">
        <f t="shared" si="160"/>
        <v>1.1032576904033458</v>
      </c>
      <c r="F223" s="215">
        <f t="shared" si="186"/>
        <v>0.23292102773298254</v>
      </c>
      <c r="G223" s="216">
        <f t="shared" si="186"/>
        <v>0.13233483426091908</v>
      </c>
      <c r="H223" s="217">
        <f t="shared" si="186"/>
        <v>0.73800182840944417</v>
      </c>
      <c r="I223" s="212">
        <f t="shared" si="154"/>
        <v>1.6863036879976034</v>
      </c>
      <c r="J223" s="215">
        <f t="shared" si="187"/>
        <v>0.82691027998659405</v>
      </c>
      <c r="K223" s="216">
        <f t="shared" si="187"/>
        <v>0.68950953870898146</v>
      </c>
      <c r="L223" s="474">
        <f t="shared" si="187"/>
        <v>0.16988386930202798</v>
      </c>
      <c r="M223" s="212">
        <f t="shared" si="187"/>
        <v>7.0133756117934126E-2</v>
      </c>
      <c r="N223" s="212">
        <f t="shared" si="188"/>
        <v>0.40032783726709587</v>
      </c>
      <c r="O223" s="219">
        <f t="shared" si="187"/>
        <v>0.40032783726709587</v>
      </c>
      <c r="P223" s="217">
        <f t="shared" si="187"/>
        <v>0</v>
      </c>
      <c r="Q223" s="218">
        <f t="shared" si="187"/>
        <v>3.9977028214020417E-2</v>
      </c>
      <c r="R223" s="349"/>
      <c r="S223" s="350"/>
    </row>
    <row r="224" spans="2:19">
      <c r="B224" s="269" t="s">
        <v>523</v>
      </c>
      <c r="C224" s="270" t="s">
        <v>380</v>
      </c>
      <c r="D224" s="348">
        <v>0</v>
      </c>
      <c r="E224" s="212">
        <f t="shared" si="160"/>
        <v>0</v>
      </c>
      <c r="F224" s="215">
        <f t="shared" si="186"/>
        <v>0</v>
      </c>
      <c r="G224" s="216">
        <f t="shared" si="186"/>
        <v>0</v>
      </c>
      <c r="H224" s="217">
        <f t="shared" si="186"/>
        <v>0</v>
      </c>
      <c r="I224" s="212">
        <f t="shared" si="154"/>
        <v>0</v>
      </c>
      <c r="J224" s="215">
        <f t="shared" si="187"/>
        <v>0</v>
      </c>
      <c r="K224" s="216">
        <f t="shared" si="187"/>
        <v>0</v>
      </c>
      <c r="L224" s="474">
        <f t="shared" si="187"/>
        <v>0</v>
      </c>
      <c r="M224" s="212">
        <f t="shared" si="187"/>
        <v>0</v>
      </c>
      <c r="N224" s="212">
        <f t="shared" si="188"/>
        <v>0</v>
      </c>
      <c r="O224" s="219">
        <f t="shared" si="187"/>
        <v>0</v>
      </c>
      <c r="P224" s="217">
        <f t="shared" si="187"/>
        <v>0</v>
      </c>
      <c r="Q224" s="218">
        <f t="shared" si="187"/>
        <v>0</v>
      </c>
      <c r="R224" s="349"/>
      <c r="S224" s="350"/>
    </row>
    <row r="225" spans="2:19">
      <c r="B225" s="269" t="s">
        <v>524</v>
      </c>
      <c r="C225" s="270" t="s">
        <v>382</v>
      </c>
      <c r="D225" s="348">
        <v>11.62759</v>
      </c>
      <c r="E225" s="212">
        <f t="shared" si="160"/>
        <v>3.8873418449566786</v>
      </c>
      <c r="F225" s="215">
        <f t="shared" si="186"/>
        <v>0.82070006450234867</v>
      </c>
      <c r="G225" s="216">
        <f t="shared" si="186"/>
        <v>0.46628339257694551</v>
      </c>
      <c r="H225" s="217">
        <f t="shared" si="186"/>
        <v>2.6003583878773844</v>
      </c>
      <c r="I225" s="212">
        <f t="shared" si="154"/>
        <v>5.9417114847042587</v>
      </c>
      <c r="J225" s="215">
        <f t="shared" si="187"/>
        <v>2.9136283946876729</v>
      </c>
      <c r="K225" s="216">
        <f t="shared" si="187"/>
        <v>2.4294952173324749</v>
      </c>
      <c r="L225" s="474">
        <f t="shared" si="187"/>
        <v>0.59858787268411129</v>
      </c>
      <c r="M225" s="212">
        <f t="shared" si="187"/>
        <v>0.24711713978767566</v>
      </c>
      <c r="N225" s="212">
        <f t="shared" si="188"/>
        <v>1.4105599870692458</v>
      </c>
      <c r="O225" s="219">
        <f t="shared" si="187"/>
        <v>1.4105599870692458</v>
      </c>
      <c r="P225" s="217">
        <f t="shared" si="187"/>
        <v>0</v>
      </c>
      <c r="Q225" s="218">
        <f t="shared" si="187"/>
        <v>0.14085954348213992</v>
      </c>
      <c r="R225" s="349"/>
      <c r="S225" s="350"/>
    </row>
    <row r="226" spans="2:19">
      <c r="B226" s="269" t="s">
        <v>525</v>
      </c>
      <c r="C226" s="270" t="s">
        <v>384</v>
      </c>
      <c r="D226" s="348">
        <v>0</v>
      </c>
      <c r="E226" s="212">
        <f t="shared" si="160"/>
        <v>0</v>
      </c>
      <c r="F226" s="215">
        <f t="shared" si="186"/>
        <v>0</v>
      </c>
      <c r="G226" s="216">
        <f t="shared" si="186"/>
        <v>0</v>
      </c>
      <c r="H226" s="217">
        <f t="shared" si="186"/>
        <v>0</v>
      </c>
      <c r="I226" s="212">
        <f t="shared" si="154"/>
        <v>0</v>
      </c>
      <c r="J226" s="215">
        <f t="shared" si="187"/>
        <v>0</v>
      </c>
      <c r="K226" s="216">
        <f t="shared" si="187"/>
        <v>0</v>
      </c>
      <c r="L226" s="474">
        <f t="shared" si="187"/>
        <v>0</v>
      </c>
      <c r="M226" s="212">
        <f t="shared" si="187"/>
        <v>0</v>
      </c>
      <c r="N226" s="212">
        <f t="shared" si="188"/>
        <v>0</v>
      </c>
      <c r="O226" s="219">
        <f t="shared" si="187"/>
        <v>0</v>
      </c>
      <c r="P226" s="217">
        <f t="shared" si="187"/>
        <v>0</v>
      </c>
      <c r="Q226" s="218">
        <f t="shared" si="187"/>
        <v>0</v>
      </c>
      <c r="R226" s="349"/>
      <c r="S226" s="350"/>
    </row>
    <row r="227" spans="2:19">
      <c r="B227" s="272" t="s">
        <v>526</v>
      </c>
      <c r="C227" s="260" t="s">
        <v>527</v>
      </c>
      <c r="D227" s="348">
        <v>0</v>
      </c>
      <c r="E227" s="212">
        <f t="shared" si="160"/>
        <v>0</v>
      </c>
      <c r="F227" s="215">
        <f t="shared" si="186"/>
        <v>0</v>
      </c>
      <c r="G227" s="216">
        <f t="shared" si="186"/>
        <v>0</v>
      </c>
      <c r="H227" s="217">
        <f t="shared" si="186"/>
        <v>0</v>
      </c>
      <c r="I227" s="212">
        <f t="shared" si="154"/>
        <v>0</v>
      </c>
      <c r="J227" s="215">
        <f t="shared" si="187"/>
        <v>0</v>
      </c>
      <c r="K227" s="216">
        <f t="shared" si="187"/>
        <v>0</v>
      </c>
      <c r="L227" s="474">
        <f t="shared" si="187"/>
        <v>0</v>
      </c>
      <c r="M227" s="212">
        <f t="shared" si="187"/>
        <v>0</v>
      </c>
      <c r="N227" s="212">
        <f t="shared" si="188"/>
        <v>0</v>
      </c>
      <c r="O227" s="219">
        <f t="shared" si="187"/>
        <v>0</v>
      </c>
      <c r="P227" s="217">
        <f t="shared" si="187"/>
        <v>0</v>
      </c>
      <c r="Q227" s="218">
        <f t="shared" si="187"/>
        <v>0</v>
      </c>
      <c r="R227" s="349"/>
      <c r="S227" s="350"/>
    </row>
    <row r="228" spans="2:19">
      <c r="B228" s="294" t="s">
        <v>528</v>
      </c>
      <c r="C228" s="295" t="s">
        <v>386</v>
      </c>
      <c r="D228" s="348">
        <v>22.6889</v>
      </c>
      <c r="E228" s="212">
        <f t="shared" si="160"/>
        <v>7.5853646702401427</v>
      </c>
      <c r="F228" s="215">
        <f t="shared" si="186"/>
        <v>1.6014308806457178</v>
      </c>
      <c r="G228" s="216">
        <f t="shared" si="186"/>
        <v>0.90985812759471729</v>
      </c>
      <c r="H228" s="217">
        <f t="shared" si="186"/>
        <v>5.0740756619997081</v>
      </c>
      <c r="I228" s="212">
        <f t="shared" si="154"/>
        <v>11.594053256548131</v>
      </c>
      <c r="J228" s="215">
        <f t="shared" si="187"/>
        <v>5.6853589853296462</v>
      </c>
      <c r="K228" s="216">
        <f t="shared" si="187"/>
        <v>4.740670597822489</v>
      </c>
      <c r="L228" s="474">
        <f t="shared" si="187"/>
        <v>1.1680236733959946</v>
      </c>
      <c r="M228" s="212">
        <f t="shared" si="187"/>
        <v>0.48219932702551382</v>
      </c>
      <c r="N228" s="212">
        <f t="shared" si="188"/>
        <v>2.7524237172634582</v>
      </c>
      <c r="O228" s="219">
        <f t="shared" si="187"/>
        <v>2.7524237172634582</v>
      </c>
      <c r="P228" s="217">
        <f t="shared" si="187"/>
        <v>0</v>
      </c>
      <c r="Q228" s="218">
        <f t="shared" si="187"/>
        <v>0.27485902892275393</v>
      </c>
      <c r="R228" s="349"/>
      <c r="S228" s="350"/>
    </row>
    <row r="229" spans="2:19" s="3" customFormat="1">
      <c r="B229" s="150" t="s">
        <v>183</v>
      </c>
      <c r="C229" s="210" t="s">
        <v>388</v>
      </c>
      <c r="D229" s="482">
        <v>0.69099999999999995</v>
      </c>
      <c r="E229" s="153">
        <f t="shared" si="160"/>
        <v>0.23101547396021571</v>
      </c>
      <c r="F229" s="154">
        <f t="shared" si="186"/>
        <v>4.8772251564694225E-2</v>
      </c>
      <c r="G229" s="155">
        <f t="shared" si="186"/>
        <v>2.77101122649379E-2</v>
      </c>
      <c r="H229" s="156">
        <f t="shared" si="186"/>
        <v>0.1545331101305836</v>
      </c>
      <c r="I229" s="153">
        <f t="shared" si="154"/>
        <v>0.35310177224434669</v>
      </c>
      <c r="J229" s="154">
        <f t="shared" si="187"/>
        <v>0.17315000105173833</v>
      </c>
      <c r="K229" s="155">
        <f t="shared" si="187"/>
        <v>0.1443791185599716</v>
      </c>
      <c r="L229" s="473">
        <f t="shared" si="187"/>
        <v>3.5572652632636766E-2</v>
      </c>
      <c r="M229" s="153">
        <f t="shared" si="187"/>
        <v>1.4685583478028024E-2</v>
      </c>
      <c r="N229" s="153">
        <f>SUM(O229:P229)</f>
        <v>8.3826222894413119E-2</v>
      </c>
      <c r="O229" s="483">
        <f t="shared" si="187"/>
        <v>8.3826222894413119E-2</v>
      </c>
      <c r="P229" s="484">
        <f t="shared" si="187"/>
        <v>0</v>
      </c>
      <c r="Q229" s="157">
        <f t="shared" si="187"/>
        <v>8.3709474229963967E-3</v>
      </c>
      <c r="R229" s="338"/>
      <c r="S229" s="339"/>
    </row>
    <row r="230" spans="2:19" s="3" customFormat="1">
      <c r="B230" s="150" t="s">
        <v>185</v>
      </c>
      <c r="C230" s="210" t="s">
        <v>390</v>
      </c>
      <c r="D230" s="351">
        <f>SUM(D231:D235)</f>
        <v>2.6630500000000001</v>
      </c>
      <c r="E230" s="153">
        <f t="shared" si="160"/>
        <v>0.89031224012988786</v>
      </c>
      <c r="F230" s="154">
        <f>SUM(F231:F235)</f>
        <v>0.18796374027403612</v>
      </c>
      <c r="G230" s="155">
        <f>SUM(G231:G235)</f>
        <v>0.10679220617531532</v>
      </c>
      <c r="H230" s="156">
        <f>SUM(H231:H235)</f>
        <v>0.59555629368053642</v>
      </c>
      <c r="I230" s="153">
        <f t="shared" si="154"/>
        <v>1.3608215261581873</v>
      </c>
      <c r="J230" s="154">
        <f t="shared" ref="J230:Q230" si="189">SUM(J231:J235)</f>
        <v>0.66730406700554523</v>
      </c>
      <c r="K230" s="155">
        <f t="shared" si="189"/>
        <v>0.55642375062392524</v>
      </c>
      <c r="L230" s="473">
        <f t="shared" si="189"/>
        <v>0.13709370852871683</v>
      </c>
      <c r="M230" s="153">
        <f t="shared" si="189"/>
        <v>5.659687855450439E-2</v>
      </c>
      <c r="N230" s="153">
        <f>SUM(O230:P230)</f>
        <v>0.32305849910125445</v>
      </c>
      <c r="O230" s="158">
        <f t="shared" ref="O230:P230" si="190">SUM(O231:O235)</f>
        <v>0.32305849910125445</v>
      </c>
      <c r="P230" s="156">
        <f t="shared" si="190"/>
        <v>0</v>
      </c>
      <c r="Q230" s="157">
        <f t="shared" si="189"/>
        <v>3.2260856056165778E-2</v>
      </c>
      <c r="R230" s="338"/>
      <c r="S230" s="339"/>
    </row>
    <row r="231" spans="2:19">
      <c r="B231" s="169" t="s">
        <v>529</v>
      </c>
      <c r="C231" s="370" t="s">
        <v>392</v>
      </c>
      <c r="D231" s="348">
        <v>0</v>
      </c>
      <c r="E231" s="212">
        <f t="shared" si="160"/>
        <v>0</v>
      </c>
      <c r="F231" s="215">
        <f t="shared" ref="F231:H235" si="191">IFERROR($D231*F$237/100, 0)</f>
        <v>0</v>
      </c>
      <c r="G231" s="216">
        <f t="shared" si="191"/>
        <v>0</v>
      </c>
      <c r="H231" s="217">
        <f t="shared" si="191"/>
        <v>0</v>
      </c>
      <c r="I231" s="212">
        <f t="shared" si="154"/>
        <v>0</v>
      </c>
      <c r="J231" s="215">
        <f t="shared" ref="J231:Q235" si="192">IFERROR($D231*J$237/100, 0)</f>
        <v>0</v>
      </c>
      <c r="K231" s="216">
        <f t="shared" si="192"/>
        <v>0</v>
      </c>
      <c r="L231" s="474">
        <f t="shared" si="192"/>
        <v>0</v>
      </c>
      <c r="M231" s="212">
        <f t="shared" si="192"/>
        <v>0</v>
      </c>
      <c r="N231" s="212">
        <f>SUM(O231:P231)</f>
        <v>0</v>
      </c>
      <c r="O231" s="219">
        <f t="shared" si="192"/>
        <v>0</v>
      </c>
      <c r="P231" s="217">
        <f t="shared" si="192"/>
        <v>0</v>
      </c>
      <c r="Q231" s="218">
        <f t="shared" si="192"/>
        <v>0</v>
      </c>
      <c r="R231" s="349"/>
      <c r="S231" s="350"/>
    </row>
    <row r="232" spans="2:19">
      <c r="B232" s="169" t="s">
        <v>530</v>
      </c>
      <c r="C232" s="370" t="s">
        <v>447</v>
      </c>
      <c r="D232" s="348">
        <v>1.0207999999999999</v>
      </c>
      <c r="E232" s="212">
        <f t="shared" si="160"/>
        <v>0.34127437889810164</v>
      </c>
      <c r="F232" s="215">
        <f t="shared" si="191"/>
        <v>7.205023791206927E-2</v>
      </c>
      <c r="G232" s="216">
        <f t="shared" si="191"/>
        <v>4.0935575398044301E-2</v>
      </c>
      <c r="H232" s="217">
        <f t="shared" si="191"/>
        <v>0.22828856558798805</v>
      </c>
      <c r="I232" s="212">
        <f t="shared" si="154"/>
        <v>0.521629940820592</v>
      </c>
      <c r="J232" s="215">
        <f t="shared" si="192"/>
        <v>0.25579091327585307</v>
      </c>
      <c r="K232" s="216">
        <f t="shared" si="192"/>
        <v>0.21328828397397828</v>
      </c>
      <c r="L232" s="474">
        <f t="shared" si="192"/>
        <v>5.2550743570760644E-2</v>
      </c>
      <c r="M232" s="212">
        <f t="shared" si="192"/>
        <v>2.1694708559147621E-2</v>
      </c>
      <c r="N232" s="212">
        <f t="shared" ref="N232:N235" si="193">SUM(O232:P232)</f>
        <v>0.12383474432795499</v>
      </c>
      <c r="O232" s="219">
        <f t="shared" si="192"/>
        <v>0.12383474432795499</v>
      </c>
      <c r="P232" s="217">
        <f t="shared" si="192"/>
        <v>0</v>
      </c>
      <c r="Q232" s="218">
        <f t="shared" si="192"/>
        <v>1.2366227394203648E-2</v>
      </c>
      <c r="R232" s="349"/>
      <c r="S232" s="350"/>
    </row>
    <row r="233" spans="2:19">
      <c r="B233" s="269" t="s">
        <v>531</v>
      </c>
      <c r="C233" s="270" t="s">
        <v>396</v>
      </c>
      <c r="D233" s="348">
        <v>0</v>
      </c>
      <c r="E233" s="212">
        <f t="shared" si="160"/>
        <v>0</v>
      </c>
      <c r="F233" s="215">
        <f t="shared" si="191"/>
        <v>0</v>
      </c>
      <c r="G233" s="216">
        <f t="shared" si="191"/>
        <v>0</v>
      </c>
      <c r="H233" s="217">
        <f t="shared" si="191"/>
        <v>0</v>
      </c>
      <c r="I233" s="212">
        <f t="shared" si="154"/>
        <v>0</v>
      </c>
      <c r="J233" s="215">
        <f t="shared" si="192"/>
        <v>0</v>
      </c>
      <c r="K233" s="216">
        <f t="shared" si="192"/>
        <v>0</v>
      </c>
      <c r="L233" s="474">
        <f t="shared" si="192"/>
        <v>0</v>
      </c>
      <c r="M233" s="212">
        <f t="shared" si="192"/>
        <v>0</v>
      </c>
      <c r="N233" s="212">
        <f t="shared" si="193"/>
        <v>0</v>
      </c>
      <c r="O233" s="219">
        <f t="shared" si="192"/>
        <v>0</v>
      </c>
      <c r="P233" s="217">
        <f t="shared" si="192"/>
        <v>0</v>
      </c>
      <c r="Q233" s="218">
        <f t="shared" si="192"/>
        <v>0</v>
      </c>
      <c r="R233" s="349"/>
      <c r="S233" s="350"/>
    </row>
    <row r="234" spans="2:19">
      <c r="B234" s="269" t="s">
        <v>532</v>
      </c>
      <c r="C234" s="260" t="s">
        <v>398</v>
      </c>
      <c r="D234" s="355">
        <v>0</v>
      </c>
      <c r="E234" s="222">
        <f t="shared" si="160"/>
        <v>0</v>
      </c>
      <c r="F234" s="223">
        <f t="shared" si="191"/>
        <v>0</v>
      </c>
      <c r="G234" s="224">
        <f t="shared" si="191"/>
        <v>0</v>
      </c>
      <c r="H234" s="225">
        <f t="shared" si="191"/>
        <v>0</v>
      </c>
      <c r="I234" s="222">
        <f t="shared" si="154"/>
        <v>0</v>
      </c>
      <c r="J234" s="223">
        <f t="shared" si="192"/>
        <v>0</v>
      </c>
      <c r="K234" s="224">
        <f t="shared" si="192"/>
        <v>0</v>
      </c>
      <c r="L234" s="485">
        <f t="shared" si="192"/>
        <v>0</v>
      </c>
      <c r="M234" s="222">
        <f t="shared" si="192"/>
        <v>0</v>
      </c>
      <c r="N234" s="212">
        <f t="shared" si="193"/>
        <v>0</v>
      </c>
      <c r="O234" s="227">
        <f t="shared" si="192"/>
        <v>0</v>
      </c>
      <c r="P234" s="225">
        <f t="shared" si="192"/>
        <v>0</v>
      </c>
      <c r="Q234" s="226">
        <f t="shared" si="192"/>
        <v>0</v>
      </c>
      <c r="R234" s="349"/>
      <c r="S234" s="350"/>
    </row>
    <row r="235" spans="2:19">
      <c r="B235" s="269" t="s">
        <v>533</v>
      </c>
      <c r="C235" s="260" t="s">
        <v>390</v>
      </c>
      <c r="D235" s="355">
        <v>1.64225</v>
      </c>
      <c r="E235" s="222">
        <f t="shared" si="160"/>
        <v>0.54903786123178622</v>
      </c>
      <c r="F235" s="223">
        <f t="shared" si="191"/>
        <v>0.11591350236196686</v>
      </c>
      <c r="G235" s="224">
        <f t="shared" si="191"/>
        <v>6.5856630777271011E-2</v>
      </c>
      <c r="H235" s="225">
        <f t="shared" si="191"/>
        <v>0.36726772809254837</v>
      </c>
      <c r="I235" s="222">
        <f t="shared" si="154"/>
        <v>0.83919158533759541</v>
      </c>
      <c r="J235" s="223">
        <f t="shared" si="192"/>
        <v>0.41151315372969216</v>
      </c>
      <c r="K235" s="224">
        <f t="shared" si="192"/>
        <v>0.34313546664994699</v>
      </c>
      <c r="L235" s="485">
        <f t="shared" si="192"/>
        <v>8.4542964957956185E-2</v>
      </c>
      <c r="M235" s="222">
        <f t="shared" si="192"/>
        <v>3.4902169995356766E-2</v>
      </c>
      <c r="N235" s="212">
        <f t="shared" si="193"/>
        <v>0.19922375477329946</v>
      </c>
      <c r="O235" s="227">
        <f t="shared" si="192"/>
        <v>0.19922375477329946</v>
      </c>
      <c r="P235" s="225">
        <f t="shared" si="192"/>
        <v>0</v>
      </c>
      <c r="Q235" s="226">
        <f t="shared" si="192"/>
        <v>1.9894628661962132E-2</v>
      </c>
      <c r="R235" s="349"/>
      <c r="S235" s="350"/>
    </row>
    <row r="236" spans="2:19" ht="116.25" customHeight="1" thickBot="1">
      <c r="B236" s="122" t="s">
        <v>79</v>
      </c>
      <c r="C236" s="123" t="s">
        <v>534</v>
      </c>
      <c r="D236" s="123" t="s">
        <v>249</v>
      </c>
      <c r="E236" s="124" t="s">
        <v>250</v>
      </c>
      <c r="F236" s="125" t="s">
        <v>251</v>
      </c>
      <c r="G236" s="126" t="s">
        <v>252</v>
      </c>
      <c r="H236" s="127" t="s">
        <v>253</v>
      </c>
      <c r="I236" s="128" t="s">
        <v>254</v>
      </c>
      <c r="J236" s="125" t="s">
        <v>255</v>
      </c>
      <c r="K236" s="126" t="s">
        <v>256</v>
      </c>
      <c r="L236" s="127" t="s">
        <v>257</v>
      </c>
      <c r="M236" s="124" t="s">
        <v>258</v>
      </c>
      <c r="N236" s="128" t="s">
        <v>259</v>
      </c>
      <c r="O236" s="130" t="s">
        <v>260</v>
      </c>
      <c r="P236" s="486" t="s">
        <v>261</v>
      </c>
      <c r="Q236" s="132" t="s">
        <v>262</v>
      </c>
      <c r="R236" s="349"/>
      <c r="S236" s="350"/>
    </row>
    <row r="237" spans="2:19" ht="38.25" customHeight="1">
      <c r="B237" s="161" t="s">
        <v>208</v>
      </c>
      <c r="C237" s="370" t="s">
        <v>535</v>
      </c>
      <c r="D237" s="144">
        <f>ROUND((E237+I237+M237+N237+Q237),1)</f>
        <v>100</v>
      </c>
      <c r="E237" s="145">
        <f>SUM(F237:H237)</f>
        <v>33.432051224343809</v>
      </c>
      <c r="F237" s="146">
        <f>IFERROR((F25+F26)/($D$25+$D$26)*100, 0)</f>
        <v>7.0582129616055322</v>
      </c>
      <c r="G237" s="147">
        <f>IFERROR((G25+G26)/($D$25+$D$26)*100, 0)</f>
        <v>4.0101464927551236</v>
      </c>
      <c r="H237" s="148">
        <f>IFERROR((H25+H26)/($D$25+$D$26)*100, 0)</f>
        <v>22.363691769983156</v>
      </c>
      <c r="I237" s="145">
        <f>SUM(J237:L237)</f>
        <v>51.100111757503143</v>
      </c>
      <c r="J237" s="146">
        <f t="shared" ref="J237:Q237" si="194">IFERROR((J25+J26)/($D$25+$D$26)*100, 0)</f>
        <v>25.057887272321032</v>
      </c>
      <c r="K237" s="147">
        <f t="shared" si="194"/>
        <v>20.894228445726714</v>
      </c>
      <c r="L237" s="480">
        <f t="shared" si="194"/>
        <v>5.1479960394553927</v>
      </c>
      <c r="M237" s="145">
        <f t="shared" si="194"/>
        <v>2.1252653369070948</v>
      </c>
      <c r="N237" s="149">
        <f t="shared" si="194"/>
        <v>12.131146583851391</v>
      </c>
      <c r="O237" s="481">
        <f t="shared" si="194"/>
        <v>12.131146583851391</v>
      </c>
      <c r="P237" s="148">
        <f t="shared" si="194"/>
        <v>0</v>
      </c>
      <c r="Q237" s="149">
        <f t="shared" si="194"/>
        <v>1.2114250973945582</v>
      </c>
      <c r="R237" s="349"/>
      <c r="S237" s="350"/>
    </row>
    <row r="238" spans="2:19" ht="33.75" customHeight="1">
      <c r="B238" s="296" t="s">
        <v>210</v>
      </c>
      <c r="C238" s="487" t="s">
        <v>536</v>
      </c>
      <c r="D238" s="488">
        <f>ROUND((E238+I238+M238+N238+Q238),1)</f>
        <v>100</v>
      </c>
      <c r="E238" s="489">
        <f>SUM(F238:H238)</f>
        <v>25.120655629334774</v>
      </c>
      <c r="F238" s="490">
        <f>VAS075_F_Verslovienetui231GeriamojoVandens</f>
        <v>6.2326925734403718</v>
      </c>
      <c r="G238" s="491">
        <f>VAS075_F_Verslovienetui232GeriamojoVandens</f>
        <v>2.0298631907280611</v>
      </c>
      <c r="H238" s="492">
        <f>VAS075_F_Verslovienetui233GeriamojoVandens</f>
        <v>16.858099865166341</v>
      </c>
      <c r="I238" s="489">
        <f>SUM(J238:L238)</f>
        <v>74.767678918585332</v>
      </c>
      <c r="J238" s="490">
        <f>VAS075_F_Verslovienetui241NuotekuSurinkimas</f>
        <v>37.314183742854297</v>
      </c>
      <c r="K238" s="491">
        <f>VAS075_F_Verslovienetui242NuotekuValymas</f>
        <v>34.869683985635071</v>
      </c>
      <c r="L238" s="493">
        <f>VAS075_F_Verslovienetui243NuotekuDumblo</f>
        <v>2.583811190095973</v>
      </c>
      <c r="M238" s="489">
        <f>VAS075_F_Verslovienetui25PavirsiniuNuoteku</f>
        <v>4.7210981545387862E-3</v>
      </c>
      <c r="N238" s="494">
        <f>VAS075_F_Verslovienetui26KitosReguliuojamosios</f>
        <v>0.10292329998115517</v>
      </c>
      <c r="O238" s="495">
        <f>VAS075_F_Verslovienetui2Apskaitosveikla1</f>
        <v>0.10292329998115517</v>
      </c>
      <c r="P238" s="492">
        <f>VAS075_F_Verslovienetui2Kitareguliuoja1</f>
        <v>0</v>
      </c>
      <c r="Q238" s="494">
        <f>VAS075_F_Verslovienetui27KitosVeiklos</f>
        <v>4.0210539441979231E-3</v>
      </c>
      <c r="R238" s="349"/>
      <c r="S238" s="350"/>
    </row>
    <row r="239" spans="2:19">
      <c r="R239" s="349"/>
      <c r="S239" s="350"/>
    </row>
    <row r="240" spans="2:19">
      <c r="C240" s="496" t="s">
        <v>537</v>
      </c>
    </row>
    <row r="241" spans="3:3">
      <c r="C241" s="497" t="s">
        <v>538</v>
      </c>
    </row>
  </sheetData>
  <sheetProtection password="F757" sheet="1" objects="1" scenarios="1"/>
  <mergeCells count="5">
    <mergeCell ref="B8:Q8"/>
    <mergeCell ref="A1:R1"/>
    <mergeCell ref="A2:R2"/>
    <mergeCell ref="A3:R3"/>
    <mergeCell ref="A5:R5"/>
  </mergeCells>
  <pageMargins left="0.7" right="0.7" top="0.75" bottom="0.75" header="0.3" footer="0.3"/>
  <pageSetup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topLeftCell="A22" zoomScale="93" zoomScaleNormal="93" workbookViewId="0">
      <selection activeCell="D34" sqref="D34"/>
    </sheetView>
  </sheetViews>
  <sheetFormatPr defaultColWidth="9.140625" defaultRowHeight="15"/>
  <cols>
    <col min="1" max="2" width="9.140625" style="498"/>
    <col min="3" max="3" width="51.5703125" style="498" customWidth="1"/>
    <col min="4" max="4" width="22.5703125" style="499" customWidth="1"/>
    <col min="5" max="5" width="22.7109375" style="498" customWidth="1"/>
    <col min="6" max="6" width="35.85546875" style="498" customWidth="1"/>
    <col min="7" max="16384" width="9.140625" style="498"/>
  </cols>
  <sheetData>
    <row r="1" spans="1:5">
      <c r="A1" s="1369" t="s">
        <v>0</v>
      </c>
      <c r="B1" s="1370"/>
      <c r="C1" s="1370"/>
      <c r="D1" s="1370"/>
      <c r="E1" s="1371"/>
    </row>
    <row r="2" spans="1:5">
      <c r="A2" s="1369" t="s">
        <v>1</v>
      </c>
      <c r="B2" s="1370"/>
      <c r="C2" s="1370"/>
      <c r="D2" s="1370"/>
      <c r="E2" s="1371"/>
    </row>
    <row r="3" spans="1:5">
      <c r="A3" s="1372"/>
      <c r="B3" s="1373"/>
      <c r="C3" s="1373"/>
      <c r="D3" s="1373"/>
      <c r="E3" s="1374"/>
    </row>
    <row r="4" spans="1:5">
      <c r="A4" s="500"/>
      <c r="B4" s="500"/>
      <c r="C4" s="500"/>
      <c r="D4" s="501"/>
      <c r="E4" s="500"/>
    </row>
    <row r="5" spans="1:5">
      <c r="A5" s="1375" t="s">
        <v>539</v>
      </c>
      <c r="B5" s="1376"/>
      <c r="C5" s="1376"/>
      <c r="D5" s="1376"/>
      <c r="E5" s="1377"/>
    </row>
    <row r="6" spans="1:5">
      <c r="A6" s="1366" t="s">
        <v>540</v>
      </c>
      <c r="B6" s="1367"/>
      <c r="C6" s="1367"/>
      <c r="D6" s="1368"/>
      <c r="E6" s="1367"/>
    </row>
    <row r="7" spans="1:5">
      <c r="A7" s="1367"/>
      <c r="B7" s="1367"/>
      <c r="C7" s="1367"/>
      <c r="D7" s="1368"/>
      <c r="E7" s="1367"/>
    </row>
    <row r="8" spans="1:5">
      <c r="A8" s="500"/>
      <c r="B8" s="500"/>
      <c r="C8" s="500"/>
      <c r="D8" s="501"/>
      <c r="E8" s="500"/>
    </row>
    <row r="9" spans="1:5" ht="35.25" customHeight="1" thickBot="1">
      <c r="B9" s="1365" t="s">
        <v>541</v>
      </c>
      <c r="C9" s="1365"/>
      <c r="D9" s="1365"/>
      <c r="E9" s="1365"/>
    </row>
    <row r="10" spans="1:5" ht="24.75" customHeight="1" thickBot="1">
      <c r="B10" s="502" t="s">
        <v>4</v>
      </c>
      <c r="C10" s="503" t="s">
        <v>92</v>
      </c>
      <c r="D10" s="504" t="s">
        <v>49</v>
      </c>
      <c r="E10" s="505" t="s">
        <v>93</v>
      </c>
    </row>
    <row r="11" spans="1:5" ht="41.25" customHeight="1" thickTop="1" thickBot="1">
      <c r="B11" s="506" t="s">
        <v>542</v>
      </c>
      <c r="C11" s="507" t="s">
        <v>543</v>
      </c>
      <c r="D11" s="508">
        <f>VAS071_F_Ilgalaikisturt1AtaskaitinisLaikotarpis</f>
        <v>20877.97</v>
      </c>
      <c r="E11" s="509" t="s">
        <v>544</v>
      </c>
    </row>
    <row r="12" spans="1:5" ht="46.5" customHeight="1" thickTop="1" thickBot="1">
      <c r="B12" s="506" t="s">
        <v>51</v>
      </c>
      <c r="C12" s="507" t="s">
        <v>545</v>
      </c>
      <c r="D12" s="508">
        <f>SUM(D13:D14)+D18</f>
        <v>3722.099296593</v>
      </c>
      <c r="E12" s="509" t="s">
        <v>546</v>
      </c>
    </row>
    <row r="13" spans="1:5" ht="41.25" customHeight="1" thickTop="1">
      <c r="B13" s="510" t="s">
        <v>96</v>
      </c>
      <c r="C13" s="511" t="s">
        <v>547</v>
      </c>
      <c r="D13" s="512">
        <f>VAS076_F_Paskirstomasil23IsViso</f>
        <v>1127.6627071253672</v>
      </c>
      <c r="E13" s="513" t="s">
        <v>546</v>
      </c>
    </row>
    <row r="14" spans="1:5" ht="40.5" customHeight="1">
      <c r="B14" s="514" t="s">
        <v>102</v>
      </c>
      <c r="C14" s="515" t="s">
        <v>548</v>
      </c>
      <c r="D14" s="516">
        <f>VAS076_F_Paskirstomasil24IsViso</f>
        <v>2593.0054255797972</v>
      </c>
      <c r="E14" s="517" t="s">
        <v>546</v>
      </c>
    </row>
    <row r="15" spans="1:5" ht="40.5" customHeight="1">
      <c r="B15" s="514" t="s">
        <v>104</v>
      </c>
      <c r="C15" s="515" t="s">
        <v>549</v>
      </c>
      <c r="D15" s="516">
        <f>VAS076_F_Paskirstomasil241NuotekuSurinkimas</f>
        <v>1477.2627235360314</v>
      </c>
      <c r="E15" s="517" t="s">
        <v>546</v>
      </c>
    </row>
    <row r="16" spans="1:5" ht="36.75" customHeight="1">
      <c r="B16" s="514" t="s">
        <v>110</v>
      </c>
      <c r="C16" s="515" t="s">
        <v>550</v>
      </c>
      <c r="D16" s="516">
        <f>VAS076_F_Paskirstomasil242NuotekuValymas</f>
        <v>1068.4684384032282</v>
      </c>
      <c r="E16" s="517" t="s">
        <v>546</v>
      </c>
    </row>
    <row r="17" spans="2:5" ht="34.5" customHeight="1">
      <c r="B17" s="514" t="s">
        <v>117</v>
      </c>
      <c r="C17" s="515" t="s">
        <v>551</v>
      </c>
      <c r="D17" s="516">
        <f>VAS076_F_Paskirstomasil243NuotekuDumblo</f>
        <v>47.274263640538031</v>
      </c>
      <c r="E17" s="517" t="s">
        <v>546</v>
      </c>
    </row>
    <row r="18" spans="2:5" ht="31.5" customHeight="1" thickBot="1">
      <c r="B18" s="518" t="s">
        <v>124</v>
      </c>
      <c r="C18" s="515" t="s">
        <v>552</v>
      </c>
      <c r="D18" s="516">
        <f>VAS076_F_Paskirstomasil25PavirsiniuNuoteku</f>
        <v>1.4311638878351942</v>
      </c>
      <c r="E18" s="517" t="s">
        <v>546</v>
      </c>
    </row>
    <row r="19" spans="2:5" ht="24">
      <c r="B19" s="519" t="s">
        <v>53</v>
      </c>
      <c r="C19" s="520" t="s">
        <v>553</v>
      </c>
      <c r="D19" s="521">
        <f>SUM(D20:D29)</f>
        <v>17136.016660000005</v>
      </c>
      <c r="E19" s="522"/>
    </row>
    <row r="20" spans="2:5">
      <c r="B20" s="514" t="s">
        <v>55</v>
      </c>
      <c r="C20" s="523" t="s">
        <v>554</v>
      </c>
      <c r="D20" s="524">
        <v>19865.70203</v>
      </c>
      <c r="E20" s="517"/>
    </row>
    <row r="21" spans="2:5" ht="24">
      <c r="B21" s="514" t="s">
        <v>138</v>
      </c>
      <c r="C21" s="523" t="s">
        <v>555</v>
      </c>
      <c r="D21" s="524">
        <v>0</v>
      </c>
      <c r="E21" s="517"/>
    </row>
    <row r="22" spans="2:5">
      <c r="B22" s="514" t="s">
        <v>298</v>
      </c>
      <c r="C22" s="523" t="s">
        <v>556</v>
      </c>
      <c r="D22" s="524">
        <v>0</v>
      </c>
      <c r="E22" s="517"/>
    </row>
    <row r="23" spans="2:5">
      <c r="B23" s="514" t="s">
        <v>303</v>
      </c>
      <c r="C23" s="523" t="s">
        <v>557</v>
      </c>
      <c r="D23" s="524">
        <v>0</v>
      </c>
      <c r="E23" s="517"/>
    </row>
    <row r="24" spans="2:5">
      <c r="B24" s="514" t="s">
        <v>308</v>
      </c>
      <c r="C24" s="523" t="s">
        <v>558</v>
      </c>
      <c r="D24" s="524">
        <v>0</v>
      </c>
      <c r="E24" s="517"/>
    </row>
    <row r="25" spans="2:5">
      <c r="B25" s="514" t="s">
        <v>314</v>
      </c>
      <c r="C25" s="523" t="s">
        <v>559</v>
      </c>
      <c r="D25" s="524">
        <v>0</v>
      </c>
      <c r="E25" s="517"/>
    </row>
    <row r="26" spans="2:5" ht="24">
      <c r="B26" s="514" t="s">
        <v>318</v>
      </c>
      <c r="C26" s="523" t="s">
        <v>560</v>
      </c>
      <c r="D26" s="524"/>
      <c r="E26" s="517"/>
    </row>
    <row r="27" spans="2:5">
      <c r="B27" s="514" t="s">
        <v>327</v>
      </c>
      <c r="C27" s="523" t="s">
        <v>561</v>
      </c>
      <c r="D27" s="524">
        <v>681.71621000000005</v>
      </c>
      <c r="E27" s="517"/>
    </row>
    <row r="28" spans="2:5" ht="24">
      <c r="B28" s="518" t="s">
        <v>329</v>
      </c>
      <c r="C28" s="525" t="s">
        <v>562</v>
      </c>
      <c r="D28" s="526">
        <v>0</v>
      </c>
      <c r="E28" s="527"/>
    </row>
    <row r="29" spans="2:5" ht="24.75" thickBot="1">
      <c r="B29" s="528" t="s">
        <v>339</v>
      </c>
      <c r="C29" s="529" t="s">
        <v>563</v>
      </c>
      <c r="D29" s="530">
        <f>D11-D12-D30-D20-D21-D22-D23-D24-D25-D26-D27-D28</f>
        <v>-3411.4015799999956</v>
      </c>
      <c r="E29" s="531"/>
    </row>
    <row r="30" spans="2:5">
      <c r="B30" s="532" t="s">
        <v>59</v>
      </c>
      <c r="C30" s="533" t="s">
        <v>564</v>
      </c>
      <c r="D30" s="534">
        <f>SUM(D31:D33)</f>
        <v>19.854043406999846</v>
      </c>
      <c r="E30" s="517" t="s">
        <v>546</v>
      </c>
    </row>
    <row r="31" spans="2:5">
      <c r="B31" s="514" t="s">
        <v>147</v>
      </c>
      <c r="C31" s="535" t="s">
        <v>565</v>
      </c>
      <c r="D31" s="536">
        <f>VAS076_F_Paskirstomasil2Apskaitosveikla1</f>
        <v>19.182709490670465</v>
      </c>
      <c r="E31" s="537" t="s">
        <v>546</v>
      </c>
    </row>
    <row r="32" spans="2:5">
      <c r="B32" s="514" t="s">
        <v>149</v>
      </c>
      <c r="C32" s="515" t="s">
        <v>566</v>
      </c>
      <c r="D32" s="516">
        <f>VAS076_F_Paskirstomasil2Kitareguliuoja1</f>
        <v>0</v>
      </c>
      <c r="E32" s="517" t="s">
        <v>546</v>
      </c>
    </row>
    <row r="33" spans="2:5" ht="15.75" thickBot="1">
      <c r="B33" s="518" t="s">
        <v>157</v>
      </c>
      <c r="C33" s="538" t="s">
        <v>567</v>
      </c>
      <c r="D33" s="539">
        <f>VAS076_F_Paskirstomasil27KitosVeiklos</f>
        <v>0.67133391632938255</v>
      </c>
      <c r="E33" s="527" t="s">
        <v>546</v>
      </c>
    </row>
    <row r="34" spans="2:5" ht="25.5" thickTop="1" thickBot="1">
      <c r="B34" s="506" t="s">
        <v>568</v>
      </c>
      <c r="C34" s="507" t="s">
        <v>569</v>
      </c>
      <c r="D34" s="540">
        <v>28969.150969999999</v>
      </c>
      <c r="E34" s="509"/>
    </row>
    <row r="35" spans="2:5" ht="37.5" thickTop="1" thickBot="1">
      <c r="B35" s="506" t="s">
        <v>63</v>
      </c>
      <c r="C35" s="507" t="s">
        <v>570</v>
      </c>
      <c r="D35" s="508">
        <f>SUM(D36:D37)+D41</f>
        <v>6419.8884995370099</v>
      </c>
      <c r="E35" s="509" t="s">
        <v>571</v>
      </c>
    </row>
    <row r="36" spans="2:5" ht="24.75" thickTop="1">
      <c r="B36" s="510" t="s">
        <v>65</v>
      </c>
      <c r="C36" s="511" t="s">
        <v>572</v>
      </c>
      <c r="D36" s="512">
        <f>VAS075_F_Paskirstomasil13IsViso</f>
        <v>2175.4712312027018</v>
      </c>
      <c r="E36" s="513" t="s">
        <v>571</v>
      </c>
    </row>
    <row r="37" spans="2:5" ht="24">
      <c r="B37" s="514" t="s">
        <v>69</v>
      </c>
      <c r="C37" s="515" t="s">
        <v>573</v>
      </c>
      <c r="D37" s="516">
        <f>VAS075_F_Paskirstomasil14IsViso</f>
        <v>4242.0577377697764</v>
      </c>
      <c r="E37" s="517" t="s">
        <v>571</v>
      </c>
    </row>
    <row r="38" spans="2:5" ht="24">
      <c r="B38" s="514" t="s">
        <v>574</v>
      </c>
      <c r="C38" s="515" t="s">
        <v>575</v>
      </c>
      <c r="D38" s="516">
        <f>VAS075_F_Paskirstomasil141NuotekuSurinkimas</f>
        <v>2243.2266978505631</v>
      </c>
      <c r="E38" s="517" t="s">
        <v>571</v>
      </c>
    </row>
    <row r="39" spans="2:5" ht="24">
      <c r="B39" s="514" t="s">
        <v>576</v>
      </c>
      <c r="C39" s="515" t="s">
        <v>577</v>
      </c>
      <c r="D39" s="516">
        <f>VAS075_F_Paskirstomasil142NuotekuValymas</f>
        <v>1908.8501576584306</v>
      </c>
      <c r="E39" s="517" t="s">
        <v>571</v>
      </c>
    </row>
    <row r="40" spans="2:5" ht="24">
      <c r="B40" s="514" t="s">
        <v>578</v>
      </c>
      <c r="C40" s="515" t="s">
        <v>579</v>
      </c>
      <c r="D40" s="516">
        <f>VAS075_F_Paskirstomasil143NuotekuDumblo</f>
        <v>89.980882260783844</v>
      </c>
      <c r="E40" s="517" t="s">
        <v>571</v>
      </c>
    </row>
    <row r="41" spans="2:5" ht="24.75" thickBot="1">
      <c r="B41" s="518" t="s">
        <v>71</v>
      </c>
      <c r="C41" s="515" t="s">
        <v>580</v>
      </c>
      <c r="D41" s="516">
        <f>VAS075_F_Paskirstomasil15PavirsiniuNuoteku</f>
        <v>2.3595305645317972</v>
      </c>
      <c r="E41" s="517" t="s">
        <v>571</v>
      </c>
    </row>
    <row r="42" spans="2:5" ht="24">
      <c r="B42" s="519" t="s">
        <v>77</v>
      </c>
      <c r="C42" s="520" t="s">
        <v>581</v>
      </c>
      <c r="D42" s="521">
        <f>SUM(D43:D52)</f>
        <v>22497.586910000005</v>
      </c>
      <c r="E42" s="522"/>
    </row>
    <row r="43" spans="2:5">
      <c r="B43" s="514" t="s">
        <v>491</v>
      </c>
      <c r="C43" s="523" t="s">
        <v>554</v>
      </c>
      <c r="D43" s="524">
        <v>24383.462889999999</v>
      </c>
      <c r="E43" s="517"/>
    </row>
    <row r="44" spans="2:5" ht="24">
      <c r="B44" s="514" t="s">
        <v>167</v>
      </c>
      <c r="C44" s="523" t="s">
        <v>555</v>
      </c>
      <c r="D44" s="524">
        <v>0</v>
      </c>
      <c r="E44" s="517"/>
    </row>
    <row r="45" spans="2:5">
      <c r="B45" s="514" t="s">
        <v>169</v>
      </c>
      <c r="C45" s="523" t="s">
        <v>556</v>
      </c>
      <c r="D45" s="524">
        <v>0</v>
      </c>
      <c r="E45" s="517"/>
    </row>
    <row r="46" spans="2:5">
      <c r="B46" s="514" t="s">
        <v>171</v>
      </c>
      <c r="C46" s="523" t="s">
        <v>557</v>
      </c>
      <c r="D46" s="524">
        <v>0</v>
      </c>
      <c r="E46" s="517"/>
    </row>
    <row r="47" spans="2:5">
      <c r="B47" s="514" t="s">
        <v>173</v>
      </c>
      <c r="C47" s="523" t="s">
        <v>558</v>
      </c>
      <c r="D47" s="524">
        <v>0</v>
      </c>
      <c r="E47" s="517"/>
    </row>
    <row r="48" spans="2:5">
      <c r="B48" s="514" t="s">
        <v>175</v>
      </c>
      <c r="C48" s="523" t="s">
        <v>559</v>
      </c>
      <c r="D48" s="524">
        <v>0</v>
      </c>
      <c r="E48" s="517"/>
    </row>
    <row r="49" spans="2:5" ht="24">
      <c r="B49" s="514" t="s">
        <v>177</v>
      </c>
      <c r="C49" s="523" t="s">
        <v>560</v>
      </c>
      <c r="D49" s="524"/>
      <c r="E49" s="517"/>
    </row>
    <row r="50" spans="2:5">
      <c r="B50" s="514" t="s">
        <v>179</v>
      </c>
      <c r="C50" s="523" t="s">
        <v>561</v>
      </c>
      <c r="D50" s="524">
        <v>1851.80178</v>
      </c>
      <c r="E50" s="517"/>
    </row>
    <row r="51" spans="2:5" ht="24">
      <c r="B51" s="518" t="s">
        <v>181</v>
      </c>
      <c r="C51" s="525" t="s">
        <v>562</v>
      </c>
      <c r="D51" s="526">
        <v>0</v>
      </c>
      <c r="E51" s="527"/>
    </row>
    <row r="52" spans="2:5" ht="24.75" thickBot="1">
      <c r="B52" s="528" t="s">
        <v>183</v>
      </c>
      <c r="C52" s="529" t="s">
        <v>582</v>
      </c>
      <c r="D52" s="541">
        <f>D34-D35-D53-D43-D44-D45-D46-D47-D48-D49-D50-D51</f>
        <v>-3737.6777599999969</v>
      </c>
      <c r="E52" s="531"/>
    </row>
    <row r="53" spans="2:5">
      <c r="B53" s="532" t="s">
        <v>79</v>
      </c>
      <c r="C53" s="533" t="s">
        <v>583</v>
      </c>
      <c r="D53" s="534">
        <f>D54+D55+D56</f>
        <v>51.675560462988386</v>
      </c>
      <c r="E53" s="517" t="s">
        <v>571</v>
      </c>
    </row>
    <row r="54" spans="2:5">
      <c r="B54" s="514" t="s">
        <v>208</v>
      </c>
      <c r="C54" s="523" t="s">
        <v>584</v>
      </c>
      <c r="D54" s="516">
        <f>VAS075_F_Paskirstomasil1Apskaitosveikla1</f>
        <v>49.667443090113139</v>
      </c>
      <c r="E54" s="517" t="s">
        <v>571</v>
      </c>
    </row>
    <row r="55" spans="2:5">
      <c r="B55" s="514" t="s">
        <v>210</v>
      </c>
      <c r="C55" s="515" t="s">
        <v>585</v>
      </c>
      <c r="D55" s="516">
        <f>VAS075_F_Paskirstomasil1Kitareguliuoja1</f>
        <v>0</v>
      </c>
      <c r="E55" s="517" t="s">
        <v>571</v>
      </c>
    </row>
    <row r="56" spans="2:5" ht="15.75" thickBot="1">
      <c r="B56" s="542" t="s">
        <v>218</v>
      </c>
      <c r="C56" s="543" t="s">
        <v>586</v>
      </c>
      <c r="D56" s="544">
        <f>VAS075_F_Paskirstomasil17KitosVeiklos</f>
        <v>2.0081173728752439</v>
      </c>
      <c r="E56" s="531" t="s">
        <v>571</v>
      </c>
    </row>
  </sheetData>
  <sheetProtection password="F757" sheet="1" objects="1" scenarios="1"/>
  <mergeCells count="7">
    <mergeCell ref="B9:E9"/>
    <mergeCell ref="A6:E6"/>
    <mergeCell ref="A7:E7"/>
    <mergeCell ref="A1:E1"/>
    <mergeCell ref="A2:E2"/>
    <mergeCell ref="A3:E3"/>
    <mergeCell ref="A5:E5"/>
  </mergeCells>
  <pageMargins left="0.7" right="0.7" top="0.75" bottom="0.75" header="0.3" footer="0.3"/>
  <pageSetup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34"/>
  <sheetViews>
    <sheetView topLeftCell="A109" zoomScale="85" zoomScaleNormal="85" workbookViewId="0">
      <selection activeCell="E118" sqref="E118"/>
    </sheetView>
  </sheetViews>
  <sheetFormatPr defaultColWidth="9.140625" defaultRowHeight="15"/>
  <cols>
    <col min="1" max="2" width="9.140625" style="28"/>
    <col min="3" max="3" width="61.42578125" style="28" customWidth="1"/>
    <col min="4" max="4" width="11" style="28" customWidth="1"/>
    <col min="5" max="5" width="11.42578125" style="28" customWidth="1"/>
    <col min="6" max="7" width="14.140625" style="28" customWidth="1"/>
    <col min="8" max="8" width="15.140625" style="28" customWidth="1"/>
    <col min="9" max="9" width="11" style="28" customWidth="1"/>
    <col min="10" max="10" width="11.5703125" style="28" customWidth="1"/>
    <col min="11" max="11" width="13.42578125" style="28" customWidth="1"/>
    <col min="12" max="12" width="12.140625" style="28" customWidth="1"/>
    <col min="13" max="13" width="21" style="28" customWidth="1"/>
    <col min="14" max="16" width="16.28515625" style="28" customWidth="1"/>
    <col min="17" max="17" width="23.28515625" style="28" customWidth="1"/>
    <col min="18" max="18" width="15.5703125" style="28" customWidth="1"/>
    <col min="19" max="16384" width="9.140625" style="28"/>
  </cols>
  <sheetData>
    <row r="1" spans="1:17">
      <c r="A1" s="1378" t="s">
        <v>0</v>
      </c>
      <c r="B1" s="1379"/>
      <c r="C1" s="1379"/>
      <c r="D1" s="1379"/>
      <c r="E1" s="1379"/>
      <c r="F1" s="1379"/>
      <c r="G1" s="1379"/>
      <c r="H1" s="1379"/>
      <c r="I1" s="1379"/>
      <c r="J1" s="1379"/>
      <c r="K1" s="1379"/>
      <c r="L1" s="1379"/>
      <c r="M1" s="1379"/>
      <c r="N1" s="1379"/>
      <c r="O1" s="1379"/>
      <c r="P1" s="1379"/>
      <c r="Q1" s="1380"/>
    </row>
    <row r="2" spans="1:17">
      <c r="A2" s="1378" t="s">
        <v>1</v>
      </c>
      <c r="B2" s="1379"/>
      <c r="C2" s="1379"/>
      <c r="D2" s="1379"/>
      <c r="E2" s="1379"/>
      <c r="F2" s="1379"/>
      <c r="G2" s="1379"/>
      <c r="H2" s="1379"/>
      <c r="I2" s="1379"/>
      <c r="J2" s="1379"/>
      <c r="K2" s="1379"/>
      <c r="L2" s="1379"/>
      <c r="M2" s="1379"/>
      <c r="N2" s="1379"/>
      <c r="O2" s="1379"/>
      <c r="P2" s="1379"/>
      <c r="Q2" s="1380"/>
    </row>
    <row r="3" spans="1:17">
      <c r="A3" s="1381"/>
      <c r="B3" s="1382"/>
      <c r="C3" s="1382"/>
      <c r="D3" s="1382"/>
      <c r="E3" s="1382"/>
      <c r="F3" s="1382"/>
      <c r="G3" s="1382"/>
      <c r="H3" s="1382"/>
      <c r="I3" s="1382"/>
      <c r="J3" s="1382"/>
      <c r="K3" s="1382"/>
      <c r="L3" s="1382"/>
      <c r="M3" s="1382"/>
      <c r="N3" s="1382"/>
      <c r="O3" s="1382"/>
      <c r="P3" s="1382"/>
      <c r="Q3" s="1383"/>
    </row>
    <row r="4" spans="1:17">
      <c r="A4" s="545"/>
      <c r="B4" s="545"/>
      <c r="C4" s="545"/>
      <c r="D4" s="545"/>
      <c r="E4" s="545"/>
      <c r="F4" s="545"/>
      <c r="G4" s="545"/>
      <c r="H4" s="545"/>
      <c r="I4" s="545"/>
      <c r="J4" s="545"/>
      <c r="K4" s="545"/>
      <c r="L4" s="545"/>
      <c r="M4" s="545"/>
      <c r="N4" s="545"/>
      <c r="O4" s="545"/>
      <c r="P4" s="545"/>
      <c r="Q4" s="545"/>
    </row>
    <row r="5" spans="1:17">
      <c r="A5" s="1384" t="s">
        <v>587</v>
      </c>
      <c r="B5" s="1385"/>
      <c r="C5" s="1385"/>
      <c r="D5" s="1385"/>
      <c r="E5" s="1385"/>
      <c r="F5" s="1385"/>
      <c r="G5" s="1385"/>
      <c r="H5" s="1385"/>
      <c r="I5" s="1385"/>
      <c r="J5" s="1385"/>
      <c r="K5" s="1385"/>
      <c r="L5" s="1385"/>
      <c r="M5" s="1385"/>
      <c r="N5" s="1385"/>
      <c r="O5" s="1385"/>
      <c r="P5" s="1385"/>
      <c r="Q5" s="1386"/>
    </row>
    <row r="6" spans="1:17">
      <c r="A6" s="545"/>
      <c r="B6" s="545"/>
      <c r="C6" s="545"/>
      <c r="D6" s="545"/>
      <c r="E6" s="545"/>
      <c r="F6" s="545"/>
      <c r="G6" s="545"/>
      <c r="H6" s="545"/>
      <c r="I6" s="545"/>
      <c r="J6" s="545"/>
      <c r="K6" s="545"/>
      <c r="L6" s="545"/>
      <c r="M6" s="545"/>
      <c r="N6" s="545"/>
      <c r="O6" s="545"/>
      <c r="P6" s="545"/>
      <c r="Q6" s="545"/>
    </row>
    <row r="8" spans="1:17" ht="15.75" thickBot="1">
      <c r="B8" s="1334" t="s">
        <v>588</v>
      </c>
      <c r="C8" s="1334"/>
      <c r="D8" s="1334"/>
      <c r="E8" s="1334"/>
      <c r="F8" s="1334"/>
      <c r="G8" s="1334"/>
      <c r="H8" s="1334"/>
      <c r="I8" s="1334"/>
      <c r="J8" s="1334"/>
      <c r="K8" s="1334"/>
      <c r="L8" s="1334"/>
      <c r="M8" s="1334"/>
      <c r="N8" s="1334"/>
      <c r="O8" s="1334"/>
      <c r="P8" s="1334"/>
      <c r="Q8" s="1334"/>
    </row>
    <row r="9" spans="1:17" ht="71.25" customHeight="1" thickBot="1">
      <c r="B9" s="546" t="s">
        <v>4</v>
      </c>
      <c r="C9" s="547" t="s">
        <v>52</v>
      </c>
      <c r="D9" s="123" t="s">
        <v>249</v>
      </c>
      <c r="E9" s="124" t="s">
        <v>250</v>
      </c>
      <c r="F9" s="125" t="s">
        <v>251</v>
      </c>
      <c r="G9" s="126" t="s">
        <v>252</v>
      </c>
      <c r="H9" s="127" t="s">
        <v>253</v>
      </c>
      <c r="I9" s="128" t="s">
        <v>254</v>
      </c>
      <c r="J9" s="125" t="s">
        <v>255</v>
      </c>
      <c r="K9" s="126" t="s">
        <v>256</v>
      </c>
      <c r="L9" s="548" t="s">
        <v>257</v>
      </c>
      <c r="M9" s="124" t="s">
        <v>258</v>
      </c>
      <c r="N9" s="128" t="s">
        <v>259</v>
      </c>
      <c r="O9" s="130" t="s">
        <v>260</v>
      </c>
      <c r="P9" s="131" t="s">
        <v>261</v>
      </c>
      <c r="Q9" s="132" t="s">
        <v>262</v>
      </c>
    </row>
    <row r="10" spans="1:17">
      <c r="B10" s="549" t="s">
        <v>51</v>
      </c>
      <c r="C10" s="549" t="s">
        <v>589</v>
      </c>
      <c r="D10" s="134">
        <f t="shared" ref="D10:Q10" si="0">D11+D15+D20+D23+D26+D29</f>
        <v>6471.5640600000006</v>
      </c>
      <c r="E10" s="550">
        <f t="shared" si="0"/>
        <v>2175.4712312027018</v>
      </c>
      <c r="F10" s="551">
        <f t="shared" si="0"/>
        <v>204.1955364972421</v>
      </c>
      <c r="G10" s="552">
        <f t="shared" si="0"/>
        <v>197.63877195075676</v>
      </c>
      <c r="H10" s="553">
        <f t="shared" si="0"/>
        <v>1773.6369227547032</v>
      </c>
      <c r="I10" s="550">
        <f t="shared" si="0"/>
        <v>4242.0577377697764</v>
      </c>
      <c r="J10" s="551">
        <f t="shared" si="0"/>
        <v>2243.2266978505631</v>
      </c>
      <c r="K10" s="552">
        <f t="shared" si="0"/>
        <v>1908.8501576584306</v>
      </c>
      <c r="L10" s="553">
        <f t="shared" si="0"/>
        <v>89.980882260783844</v>
      </c>
      <c r="M10" s="550">
        <f t="shared" si="0"/>
        <v>2.3595305645317972</v>
      </c>
      <c r="N10" s="554">
        <f t="shared" si="0"/>
        <v>49.667443090113139</v>
      </c>
      <c r="O10" s="552">
        <f t="shared" si="0"/>
        <v>49.667443090113139</v>
      </c>
      <c r="P10" s="555">
        <f t="shared" si="0"/>
        <v>0</v>
      </c>
      <c r="Q10" s="550">
        <f t="shared" si="0"/>
        <v>2.0081173728752439</v>
      </c>
    </row>
    <row r="11" spans="1:17">
      <c r="B11" s="556" t="s">
        <v>96</v>
      </c>
      <c r="C11" s="557" t="s">
        <v>8</v>
      </c>
      <c r="D11" s="144">
        <f t="shared" ref="D11:D55" si="1">E11+I11+M11+N11+Q11</f>
        <v>14.577999999999998</v>
      </c>
      <c r="E11" s="145">
        <f t="shared" ref="E11:E32" si="2">SUM(F11:H11)</f>
        <v>5.0424587677999995</v>
      </c>
      <c r="F11" s="146">
        <f>SUM(F12:F14)</f>
        <v>0.34508166920000005</v>
      </c>
      <c r="G11" s="147">
        <f>SUM(G12:G14)</f>
        <v>0.32784318419999997</v>
      </c>
      <c r="H11" s="480">
        <f>SUM(H12:H14)</f>
        <v>4.3695339143999998</v>
      </c>
      <c r="I11" s="145">
        <f t="shared" ref="I11:I32" si="3">SUM(J11:L11)</f>
        <v>9.5064741579999996</v>
      </c>
      <c r="J11" s="146">
        <f t="shared" ref="J11:Q11" si="4">SUM(J12:J14)</f>
        <v>7.2441755656</v>
      </c>
      <c r="K11" s="147">
        <f t="shared" si="4"/>
        <v>2.0668221903999999</v>
      </c>
      <c r="L11" s="480">
        <f t="shared" si="4"/>
        <v>0.19547640199999999</v>
      </c>
      <c r="M11" s="145">
        <f t="shared" si="4"/>
        <v>1.2289254E-3</v>
      </c>
      <c r="N11" s="149">
        <f t="shared" ref="N11:N32" si="5">SUM(O11:P11)</f>
        <v>2.6791448400000001E-2</v>
      </c>
      <c r="O11" s="147">
        <f t="shared" si="4"/>
        <v>2.6791448400000001E-2</v>
      </c>
      <c r="P11" s="148">
        <f t="shared" si="4"/>
        <v>0</v>
      </c>
      <c r="Q11" s="145">
        <f t="shared" si="4"/>
        <v>1.0467003999999999E-3</v>
      </c>
    </row>
    <row r="12" spans="1:17">
      <c r="B12" s="558" t="s">
        <v>98</v>
      </c>
      <c r="C12" s="559" t="s">
        <v>10</v>
      </c>
      <c r="D12" s="144">
        <f t="shared" si="1"/>
        <v>14.577999999999998</v>
      </c>
      <c r="E12" s="145">
        <f t="shared" si="2"/>
        <v>5.0424587677999995</v>
      </c>
      <c r="F12" s="372">
        <f t="shared" ref="F12:H14" si="6">SUM(F35,F58,F98)</f>
        <v>0.34508166920000005</v>
      </c>
      <c r="G12" s="373">
        <f t="shared" si="6"/>
        <v>0.32784318419999997</v>
      </c>
      <c r="H12" s="373">
        <f t="shared" si="6"/>
        <v>4.3695339143999998</v>
      </c>
      <c r="I12" s="145">
        <f t="shared" si="3"/>
        <v>9.5064741579999996</v>
      </c>
      <c r="J12" s="215">
        <f t="shared" ref="J12:Q14" si="7">SUM(J35,J58,J98)</f>
        <v>7.2441755656</v>
      </c>
      <c r="K12" s="216">
        <f t="shared" si="7"/>
        <v>2.0668221903999999</v>
      </c>
      <c r="L12" s="474">
        <f t="shared" si="7"/>
        <v>0.19547640199999999</v>
      </c>
      <c r="M12" s="212">
        <f t="shared" si="7"/>
        <v>1.2289254E-3</v>
      </c>
      <c r="N12" s="149">
        <f t="shared" si="5"/>
        <v>2.6791448400000001E-2</v>
      </c>
      <c r="O12" s="216">
        <f t="shared" ref="O12:P14" si="8">SUM(O35,O58,O98)</f>
        <v>2.6791448400000001E-2</v>
      </c>
      <c r="P12" s="216">
        <f t="shared" si="8"/>
        <v>0</v>
      </c>
      <c r="Q12" s="212">
        <f t="shared" si="7"/>
        <v>1.0467003999999999E-3</v>
      </c>
    </row>
    <row r="13" spans="1:17">
      <c r="B13" s="558" t="s">
        <v>100</v>
      </c>
      <c r="C13" s="559" t="s">
        <v>11</v>
      </c>
      <c r="D13" s="144">
        <f t="shared" si="1"/>
        <v>0</v>
      </c>
      <c r="E13" s="145">
        <f t="shared" si="2"/>
        <v>0</v>
      </c>
      <c r="F13" s="372">
        <f t="shared" si="6"/>
        <v>0</v>
      </c>
      <c r="G13" s="373">
        <f t="shared" si="6"/>
        <v>0</v>
      </c>
      <c r="H13" s="373">
        <f t="shared" si="6"/>
        <v>0</v>
      </c>
      <c r="I13" s="145">
        <f t="shared" si="3"/>
        <v>0</v>
      </c>
      <c r="J13" s="215">
        <f t="shared" si="7"/>
        <v>0</v>
      </c>
      <c r="K13" s="216">
        <f t="shared" si="7"/>
        <v>0</v>
      </c>
      <c r="L13" s="474">
        <f t="shared" si="7"/>
        <v>0</v>
      </c>
      <c r="M13" s="212">
        <f t="shared" si="7"/>
        <v>0</v>
      </c>
      <c r="N13" s="149">
        <f t="shared" si="5"/>
        <v>0</v>
      </c>
      <c r="O13" s="216">
        <f t="shared" si="8"/>
        <v>0</v>
      </c>
      <c r="P13" s="216">
        <f t="shared" si="8"/>
        <v>0</v>
      </c>
      <c r="Q13" s="320">
        <f t="shared" si="7"/>
        <v>0</v>
      </c>
    </row>
    <row r="14" spans="1:17">
      <c r="B14" s="558" t="s">
        <v>590</v>
      </c>
      <c r="C14" s="559" t="s">
        <v>13</v>
      </c>
      <c r="D14" s="144">
        <f t="shared" si="1"/>
        <v>0</v>
      </c>
      <c r="E14" s="145">
        <f t="shared" si="2"/>
        <v>0</v>
      </c>
      <c r="F14" s="372">
        <f t="shared" si="6"/>
        <v>0</v>
      </c>
      <c r="G14" s="373">
        <f t="shared" si="6"/>
        <v>0</v>
      </c>
      <c r="H14" s="373">
        <f t="shared" si="6"/>
        <v>0</v>
      </c>
      <c r="I14" s="145">
        <f t="shared" si="3"/>
        <v>0</v>
      </c>
      <c r="J14" s="215">
        <f t="shared" si="7"/>
        <v>0</v>
      </c>
      <c r="K14" s="216">
        <f t="shared" si="7"/>
        <v>0</v>
      </c>
      <c r="L14" s="474">
        <f t="shared" si="7"/>
        <v>0</v>
      </c>
      <c r="M14" s="212">
        <f t="shared" si="7"/>
        <v>0</v>
      </c>
      <c r="N14" s="149">
        <f t="shared" si="5"/>
        <v>0</v>
      </c>
      <c r="O14" s="216">
        <f t="shared" si="8"/>
        <v>0</v>
      </c>
      <c r="P14" s="216">
        <f t="shared" si="8"/>
        <v>0</v>
      </c>
      <c r="Q14" s="320">
        <f t="shared" si="7"/>
        <v>0</v>
      </c>
    </row>
    <row r="15" spans="1:17">
      <c r="B15" s="556" t="s">
        <v>102</v>
      </c>
      <c r="C15" s="560" t="s">
        <v>15</v>
      </c>
      <c r="D15" s="144">
        <f t="shared" si="1"/>
        <v>6066.7222999999994</v>
      </c>
      <c r="E15" s="145">
        <f t="shared" si="2"/>
        <v>2039.9410870796646</v>
      </c>
      <c r="F15" s="146">
        <f>SUM(F16:F19)</f>
        <v>118.35347935363973</v>
      </c>
      <c r="G15" s="147">
        <f>SUM(G16:G19)</f>
        <v>186.55581880895866</v>
      </c>
      <c r="H15" s="480">
        <f>SUM(H16:H19)</f>
        <v>1735.0317889170663</v>
      </c>
      <c r="I15" s="145">
        <f t="shared" si="3"/>
        <v>4026.6729202422421</v>
      </c>
      <c r="J15" s="343">
        <f t="shared" ref="J15:Q15" si="9">SUM(J16:J19)</f>
        <v>2091.6708909250729</v>
      </c>
      <c r="K15" s="344">
        <f t="shared" si="9"/>
        <v>1880.9632165280077</v>
      </c>
      <c r="L15" s="561">
        <f t="shared" si="9"/>
        <v>54.038812789161348</v>
      </c>
      <c r="M15" s="342">
        <f t="shared" si="9"/>
        <v>4.578500809090582E-3</v>
      </c>
      <c r="N15" s="149">
        <f t="shared" si="5"/>
        <v>9.9814576357611762E-2</v>
      </c>
      <c r="O15" s="344">
        <f t="shared" si="9"/>
        <v>9.9814576357611762E-2</v>
      </c>
      <c r="P15" s="344">
        <f t="shared" si="9"/>
        <v>0</v>
      </c>
      <c r="Q15" s="145">
        <f t="shared" si="9"/>
        <v>3.8996009263665933E-3</v>
      </c>
    </row>
    <row r="16" spans="1:17">
      <c r="B16" s="558" t="s">
        <v>104</v>
      </c>
      <c r="C16" s="559" t="s">
        <v>17</v>
      </c>
      <c r="D16" s="144">
        <f t="shared" si="1"/>
        <v>797.23716999999999</v>
      </c>
      <c r="E16" s="145">
        <f t="shared" si="2"/>
        <v>123.21009707966465</v>
      </c>
      <c r="F16" s="372">
        <f t="shared" ref="F16:H19" si="10">SUM(F39,F62,F102)</f>
        <v>90.410979353639732</v>
      </c>
      <c r="G16" s="373">
        <f t="shared" si="10"/>
        <v>15.214178808958639</v>
      </c>
      <c r="H16" s="373">
        <f t="shared" si="10"/>
        <v>17.584938917066275</v>
      </c>
      <c r="I16" s="145">
        <f t="shared" si="3"/>
        <v>673.91878024224229</v>
      </c>
      <c r="J16" s="215">
        <f t="shared" ref="J16:Q19" si="11">SUM(J39,J62,J102)</f>
        <v>199.25672092507301</v>
      </c>
      <c r="K16" s="216">
        <f t="shared" si="11"/>
        <v>440.6438165280079</v>
      </c>
      <c r="L16" s="474">
        <f t="shared" si="11"/>
        <v>34.018242789161349</v>
      </c>
      <c r="M16" s="212">
        <f t="shared" si="11"/>
        <v>4.578500809090582E-3</v>
      </c>
      <c r="N16" s="149">
        <f t="shared" si="5"/>
        <v>9.9814576357611762E-2</v>
      </c>
      <c r="O16" s="216">
        <f t="shared" ref="O16:P18" si="12">SUM(O39,O62,O102)</f>
        <v>9.9814576357611762E-2</v>
      </c>
      <c r="P16" s="216">
        <f t="shared" si="12"/>
        <v>0</v>
      </c>
      <c r="Q16" s="320">
        <f t="shared" si="11"/>
        <v>3.8996009263665933E-3</v>
      </c>
    </row>
    <row r="17" spans="2:17">
      <c r="B17" s="558" t="s">
        <v>110</v>
      </c>
      <c r="C17" s="559" t="s">
        <v>591</v>
      </c>
      <c r="D17" s="144">
        <f t="shared" si="1"/>
        <v>37.857769999999995</v>
      </c>
      <c r="E17" s="145">
        <f t="shared" si="2"/>
        <v>0</v>
      </c>
      <c r="F17" s="372">
        <f t="shared" si="10"/>
        <v>0</v>
      </c>
      <c r="G17" s="373">
        <f t="shared" si="10"/>
        <v>0</v>
      </c>
      <c r="H17" s="373">
        <f t="shared" si="10"/>
        <v>0</v>
      </c>
      <c r="I17" s="145">
        <f t="shared" si="3"/>
        <v>37.857769999999995</v>
      </c>
      <c r="J17" s="215">
        <f t="shared" si="11"/>
        <v>1.52101</v>
      </c>
      <c r="K17" s="216">
        <f t="shared" si="11"/>
        <v>36.336759999999998</v>
      </c>
      <c r="L17" s="474">
        <f t="shared" si="11"/>
        <v>0</v>
      </c>
      <c r="M17" s="212">
        <f t="shared" si="11"/>
        <v>0</v>
      </c>
      <c r="N17" s="149">
        <f t="shared" si="5"/>
        <v>0</v>
      </c>
      <c r="O17" s="216">
        <f t="shared" si="12"/>
        <v>0</v>
      </c>
      <c r="P17" s="216">
        <f t="shared" si="12"/>
        <v>0</v>
      </c>
      <c r="Q17" s="320">
        <f t="shared" si="11"/>
        <v>0</v>
      </c>
    </row>
    <row r="18" spans="2:17">
      <c r="B18" s="558" t="s">
        <v>117</v>
      </c>
      <c r="C18" s="559" t="s">
        <v>23</v>
      </c>
      <c r="D18" s="144">
        <f t="shared" si="1"/>
        <v>3470.81178</v>
      </c>
      <c r="E18" s="145">
        <f t="shared" si="2"/>
        <v>1707.12808</v>
      </c>
      <c r="F18" s="372">
        <f t="shared" si="10"/>
        <v>0</v>
      </c>
      <c r="G18" s="373">
        <f t="shared" si="10"/>
        <v>0</v>
      </c>
      <c r="H18" s="373">
        <f t="shared" si="10"/>
        <v>1707.12808</v>
      </c>
      <c r="I18" s="145">
        <f t="shared" si="3"/>
        <v>1763.6837</v>
      </c>
      <c r="J18" s="215">
        <f t="shared" si="11"/>
        <v>1763.6837</v>
      </c>
      <c r="K18" s="216">
        <f t="shared" si="11"/>
        <v>0</v>
      </c>
      <c r="L18" s="474">
        <f t="shared" si="11"/>
        <v>0</v>
      </c>
      <c r="M18" s="212">
        <f t="shared" si="11"/>
        <v>0</v>
      </c>
      <c r="N18" s="149">
        <f t="shared" si="5"/>
        <v>0</v>
      </c>
      <c r="O18" s="216">
        <f t="shared" si="12"/>
        <v>0</v>
      </c>
      <c r="P18" s="216">
        <f t="shared" si="12"/>
        <v>0</v>
      </c>
      <c r="Q18" s="320">
        <f t="shared" si="11"/>
        <v>0</v>
      </c>
    </row>
    <row r="19" spans="2:17" ht="38.25">
      <c r="B19" s="558" t="s">
        <v>592</v>
      </c>
      <c r="C19" s="559" t="s">
        <v>593</v>
      </c>
      <c r="D19" s="144">
        <f t="shared" si="1"/>
        <v>1760.81558</v>
      </c>
      <c r="E19" s="145">
        <f t="shared" si="2"/>
        <v>209.60291000000001</v>
      </c>
      <c r="F19" s="372">
        <f t="shared" si="10"/>
        <v>27.942499999999999</v>
      </c>
      <c r="G19" s="373">
        <f t="shared" si="10"/>
        <v>171.34164000000001</v>
      </c>
      <c r="H19" s="373">
        <f t="shared" si="10"/>
        <v>10.318770000000001</v>
      </c>
      <c r="I19" s="145">
        <f t="shared" si="3"/>
        <v>1551.2126699999999</v>
      </c>
      <c r="J19" s="215">
        <f t="shared" si="11"/>
        <v>127.20946000000001</v>
      </c>
      <c r="K19" s="216">
        <f t="shared" si="11"/>
        <v>1403.9826399999999</v>
      </c>
      <c r="L19" s="474">
        <f t="shared" si="11"/>
        <v>20.020569999999999</v>
      </c>
      <c r="M19" s="212">
        <f t="shared" si="11"/>
        <v>0</v>
      </c>
      <c r="N19" s="149">
        <f t="shared" si="5"/>
        <v>0</v>
      </c>
      <c r="O19" s="216">
        <f t="shared" si="11"/>
        <v>0</v>
      </c>
      <c r="P19" s="216">
        <f t="shared" si="11"/>
        <v>0</v>
      </c>
      <c r="Q19" s="320">
        <f t="shared" si="11"/>
        <v>0</v>
      </c>
    </row>
    <row r="20" spans="2:17">
      <c r="B20" s="556" t="s">
        <v>124</v>
      </c>
      <c r="C20" s="562" t="s">
        <v>27</v>
      </c>
      <c r="D20" s="144">
        <f t="shared" si="1"/>
        <v>249.21513999999999</v>
      </c>
      <c r="E20" s="145">
        <f t="shared" si="2"/>
        <v>106.033057136991</v>
      </c>
      <c r="F20" s="146">
        <f>SUM(F21:F22)</f>
        <v>84.096462185274007</v>
      </c>
      <c r="G20" s="147">
        <f>SUM(G21:G22)</f>
        <v>1.5822627004490002</v>
      </c>
      <c r="H20" s="480">
        <f>SUM(H21:H22)</f>
        <v>20.354332251267998</v>
      </c>
      <c r="I20" s="145">
        <f t="shared" si="3"/>
        <v>143.15576256551</v>
      </c>
      <c r="J20" s="343">
        <f t="shared" ref="J20:Q20" si="13">SUM(J21:J22)</f>
        <v>101.51348637933199</v>
      </c>
      <c r="K20" s="344">
        <f t="shared" si="13"/>
        <v>19.810891888488001</v>
      </c>
      <c r="L20" s="561">
        <f t="shared" si="13"/>
        <v>21.831384297690001</v>
      </c>
      <c r="M20" s="342">
        <f t="shared" si="13"/>
        <v>1.112794563E-3</v>
      </c>
      <c r="N20" s="149">
        <f t="shared" si="5"/>
        <v>2.4259713497999998E-2</v>
      </c>
      <c r="O20" s="344">
        <f t="shared" si="13"/>
        <v>2.4259713497999998E-2</v>
      </c>
      <c r="P20" s="344">
        <f t="shared" si="13"/>
        <v>0</v>
      </c>
      <c r="Q20" s="145">
        <f t="shared" si="13"/>
        <v>9.4778943799999997E-4</v>
      </c>
    </row>
    <row r="21" spans="2:17" ht="51.75">
      <c r="B21" s="558" t="s">
        <v>126</v>
      </c>
      <c r="C21" s="563" t="s">
        <v>29</v>
      </c>
      <c r="D21" s="144">
        <f t="shared" si="1"/>
        <v>236.12513999999999</v>
      </c>
      <c r="E21" s="145">
        <f t="shared" si="2"/>
        <v>106.033057136991</v>
      </c>
      <c r="F21" s="372">
        <f t="shared" ref="F21:H21" si="14">SUM(F44,F67,F107)</f>
        <v>84.096462185274007</v>
      </c>
      <c r="G21" s="373">
        <f t="shared" si="14"/>
        <v>1.5822627004490002</v>
      </c>
      <c r="H21" s="373">
        <f t="shared" si="14"/>
        <v>20.354332251267998</v>
      </c>
      <c r="I21" s="145">
        <f t="shared" si="3"/>
        <v>130.06576256551</v>
      </c>
      <c r="J21" s="215">
        <f t="shared" ref="J21:Q21" si="15">SUM(J44,J67,J107)</f>
        <v>94.823486379331996</v>
      </c>
      <c r="K21" s="216">
        <f t="shared" si="15"/>
        <v>16.110891888488002</v>
      </c>
      <c r="L21" s="474">
        <f t="shared" si="15"/>
        <v>19.131384297690001</v>
      </c>
      <c r="M21" s="212">
        <f t="shared" si="15"/>
        <v>1.112794563E-3</v>
      </c>
      <c r="N21" s="149">
        <f t="shared" si="5"/>
        <v>2.4259713497999998E-2</v>
      </c>
      <c r="O21" s="216">
        <f t="shared" si="15"/>
        <v>2.4259713497999998E-2</v>
      </c>
      <c r="P21" s="216">
        <f t="shared" si="15"/>
        <v>0</v>
      </c>
      <c r="Q21" s="320">
        <f t="shared" si="15"/>
        <v>9.4778943799999997E-4</v>
      </c>
    </row>
    <row r="22" spans="2:17">
      <c r="B22" s="558" t="s">
        <v>128</v>
      </c>
      <c r="C22" s="563" t="s">
        <v>31</v>
      </c>
      <c r="D22" s="144">
        <f t="shared" si="1"/>
        <v>13.09</v>
      </c>
      <c r="E22" s="145">
        <f t="shared" si="2"/>
        <v>0</v>
      </c>
      <c r="F22" s="372">
        <f t="shared" ref="F22:H22" si="16">SUM(F45,F68)</f>
        <v>0</v>
      </c>
      <c r="G22" s="373">
        <f t="shared" si="16"/>
        <v>0</v>
      </c>
      <c r="H22" s="373">
        <f t="shared" si="16"/>
        <v>0</v>
      </c>
      <c r="I22" s="145">
        <f t="shared" si="3"/>
        <v>13.09</v>
      </c>
      <c r="J22" s="215">
        <f t="shared" ref="J22:Q22" si="17">SUM(J45,J68)</f>
        <v>6.69</v>
      </c>
      <c r="K22" s="216">
        <f t="shared" si="17"/>
        <v>3.7</v>
      </c>
      <c r="L22" s="474">
        <f t="shared" si="17"/>
        <v>2.7</v>
      </c>
      <c r="M22" s="212">
        <f t="shared" si="17"/>
        <v>0</v>
      </c>
      <c r="N22" s="149">
        <f t="shared" si="5"/>
        <v>0</v>
      </c>
      <c r="O22" s="216">
        <f t="shared" si="17"/>
        <v>0</v>
      </c>
      <c r="P22" s="216">
        <f t="shared" si="17"/>
        <v>0</v>
      </c>
      <c r="Q22" s="320">
        <f t="shared" si="17"/>
        <v>0</v>
      </c>
    </row>
    <row r="23" spans="2:17">
      <c r="B23" s="556" t="s">
        <v>268</v>
      </c>
      <c r="C23" s="562" t="s">
        <v>33</v>
      </c>
      <c r="D23" s="144">
        <f t="shared" si="1"/>
        <v>56.91189</v>
      </c>
      <c r="E23" s="145">
        <f t="shared" si="2"/>
        <v>9.4477785357710005</v>
      </c>
      <c r="F23" s="146">
        <f>SUM(F24:F25)</f>
        <v>0.688318460194</v>
      </c>
      <c r="G23" s="147">
        <f>SUM(G24:G25)</f>
        <v>8.4962299768690013</v>
      </c>
      <c r="H23" s="480">
        <f>SUM(H24:H25)</f>
        <v>0.26323009870800002</v>
      </c>
      <c r="I23" s="145">
        <f t="shared" si="3"/>
        <v>1.3526904013100003</v>
      </c>
      <c r="J23" s="343">
        <f t="shared" ref="J23:Q23" si="18">SUM(J24:J25)</f>
        <v>1.2164046798920001</v>
      </c>
      <c r="K23" s="344">
        <f t="shared" si="18"/>
        <v>0.12450980352800001</v>
      </c>
      <c r="L23" s="561">
        <f t="shared" si="18"/>
        <v>1.1775917890000001E-2</v>
      </c>
      <c r="M23" s="342">
        <f t="shared" si="18"/>
        <v>7.4033103000000009E-5</v>
      </c>
      <c r="N23" s="149">
        <f t="shared" si="5"/>
        <v>46.111283974338001</v>
      </c>
      <c r="O23" s="344">
        <f t="shared" si="18"/>
        <v>46.111283974338001</v>
      </c>
      <c r="P23" s="344">
        <f t="shared" si="18"/>
        <v>0</v>
      </c>
      <c r="Q23" s="145">
        <f t="shared" si="18"/>
        <v>6.3055477999999999E-5</v>
      </c>
    </row>
    <row r="24" spans="2:17">
      <c r="B24" s="558" t="s">
        <v>594</v>
      </c>
      <c r="C24" s="563" t="s">
        <v>595</v>
      </c>
      <c r="D24" s="144">
        <f t="shared" si="1"/>
        <v>46.109670000000001</v>
      </c>
      <c r="E24" s="142">
        <f t="shared" si="2"/>
        <v>0</v>
      </c>
      <c r="F24" s="564">
        <f t="shared" ref="F24:H25" si="19">SUM(F47,F70,F109)</f>
        <v>0</v>
      </c>
      <c r="G24" s="565">
        <f t="shared" si="19"/>
        <v>0</v>
      </c>
      <c r="H24" s="565">
        <f t="shared" si="19"/>
        <v>0</v>
      </c>
      <c r="I24" s="142">
        <f t="shared" si="3"/>
        <v>0</v>
      </c>
      <c r="J24" s="467">
        <f t="shared" ref="J24:Q25" si="20">SUM(J47,J70,J109)</f>
        <v>0</v>
      </c>
      <c r="K24" s="468">
        <f t="shared" si="20"/>
        <v>0</v>
      </c>
      <c r="L24" s="470">
        <f t="shared" si="20"/>
        <v>0</v>
      </c>
      <c r="M24" s="328">
        <f t="shared" si="20"/>
        <v>0</v>
      </c>
      <c r="N24" s="566">
        <f t="shared" si="5"/>
        <v>46.109670000000001</v>
      </c>
      <c r="O24" s="468">
        <f t="shared" ref="O24:P25" si="21">SUM(O47,O70,O109)</f>
        <v>46.109670000000001</v>
      </c>
      <c r="P24" s="468">
        <f t="shared" si="21"/>
        <v>0</v>
      </c>
      <c r="Q24" s="317">
        <f t="shared" si="20"/>
        <v>0</v>
      </c>
    </row>
    <row r="25" spans="2:17" ht="26.25">
      <c r="B25" s="558" t="s">
        <v>596</v>
      </c>
      <c r="C25" s="567" t="s">
        <v>597</v>
      </c>
      <c r="D25" s="144">
        <f t="shared" si="1"/>
        <v>10.802219999999998</v>
      </c>
      <c r="E25" s="142">
        <f t="shared" si="2"/>
        <v>9.4477785357710005</v>
      </c>
      <c r="F25" s="564">
        <f t="shared" si="19"/>
        <v>0.688318460194</v>
      </c>
      <c r="G25" s="565">
        <f t="shared" si="19"/>
        <v>8.4962299768690013</v>
      </c>
      <c r="H25" s="565">
        <f t="shared" si="19"/>
        <v>0.26323009870800002</v>
      </c>
      <c r="I25" s="142">
        <f t="shared" si="3"/>
        <v>1.3526904013100003</v>
      </c>
      <c r="J25" s="467">
        <f t="shared" si="20"/>
        <v>1.2164046798920001</v>
      </c>
      <c r="K25" s="468">
        <f t="shared" si="20"/>
        <v>0.12450980352800001</v>
      </c>
      <c r="L25" s="470">
        <f t="shared" si="20"/>
        <v>1.1775917890000001E-2</v>
      </c>
      <c r="M25" s="328">
        <f t="shared" si="20"/>
        <v>7.4033103000000009E-5</v>
      </c>
      <c r="N25" s="566">
        <f t="shared" si="5"/>
        <v>1.6139743380000002E-3</v>
      </c>
      <c r="O25" s="468">
        <f t="shared" si="21"/>
        <v>1.6139743380000002E-3</v>
      </c>
      <c r="P25" s="468">
        <f t="shared" si="21"/>
        <v>0</v>
      </c>
      <c r="Q25" s="317">
        <f t="shared" si="20"/>
        <v>6.3055477999999999E-5</v>
      </c>
    </row>
    <row r="26" spans="2:17">
      <c r="B26" s="556" t="s">
        <v>270</v>
      </c>
      <c r="C26" s="568" t="s">
        <v>39</v>
      </c>
      <c r="D26" s="346">
        <f t="shared" si="1"/>
        <v>76.598619999999997</v>
      </c>
      <c r="E26" s="569">
        <f t="shared" si="2"/>
        <v>12.959499385122999</v>
      </c>
      <c r="F26" s="570">
        <f>SUM(F27:F28)</f>
        <v>0.57208400392200009</v>
      </c>
      <c r="G26" s="571">
        <f>SUM(G27:G28)</f>
        <v>0.543505663197</v>
      </c>
      <c r="H26" s="572">
        <f>SUM(H27:H28)</f>
        <v>11.843909718003999</v>
      </c>
      <c r="I26" s="569">
        <f t="shared" si="3"/>
        <v>55.890932578030004</v>
      </c>
      <c r="J26" s="570">
        <f t="shared" ref="J26:Q26" si="22">SUM(J27:J28)</f>
        <v>38.640444063796004</v>
      </c>
      <c r="K26" s="571">
        <f t="shared" si="22"/>
        <v>3.4264234226640005</v>
      </c>
      <c r="L26" s="572">
        <f t="shared" si="22"/>
        <v>13.824065091570001</v>
      </c>
      <c r="M26" s="569">
        <f t="shared" si="22"/>
        <v>2.3520373396389997</v>
      </c>
      <c r="N26" s="573">
        <f t="shared" si="5"/>
        <v>3.3944154541940001</v>
      </c>
      <c r="O26" s="571">
        <f t="shared" si="22"/>
        <v>3.3944154541940001</v>
      </c>
      <c r="P26" s="571">
        <f t="shared" si="22"/>
        <v>0</v>
      </c>
      <c r="Q26" s="569">
        <f t="shared" si="22"/>
        <v>2.0017352430140001</v>
      </c>
    </row>
    <row r="27" spans="2:17">
      <c r="B27" s="574" t="s">
        <v>272</v>
      </c>
      <c r="C27" s="575" t="s">
        <v>41</v>
      </c>
      <c r="D27" s="307">
        <f t="shared" si="1"/>
        <v>15.6</v>
      </c>
      <c r="E27" s="305">
        <f t="shared" si="2"/>
        <v>6.4332440299999991</v>
      </c>
      <c r="F27" s="576">
        <f t="shared" ref="F27:H28" si="23">SUM(F50,F73,F112)</f>
        <v>0.12545842000000001</v>
      </c>
      <c r="G27" s="577">
        <f t="shared" si="23"/>
        <v>0.11919116999999999</v>
      </c>
      <c r="H27" s="577">
        <f t="shared" si="23"/>
        <v>6.1885944399999993</v>
      </c>
      <c r="I27" s="305">
        <f t="shared" si="3"/>
        <v>3.4561883000000004</v>
      </c>
      <c r="J27" s="467">
        <f t="shared" ref="J27:Q28" si="24">SUM(J50,J73,J112)</f>
        <v>2.6337035600000003</v>
      </c>
      <c r="K27" s="468">
        <f t="shared" si="24"/>
        <v>0.75141704000000009</v>
      </c>
      <c r="L27" s="470">
        <f t="shared" si="24"/>
        <v>7.1067699999999998E-2</v>
      </c>
      <c r="M27" s="328">
        <f t="shared" si="24"/>
        <v>2.3504467899999999</v>
      </c>
      <c r="N27" s="578">
        <f t="shared" si="5"/>
        <v>3.3597403400000001</v>
      </c>
      <c r="O27" s="468">
        <f t="shared" ref="O27:P28" si="25">SUM(O50,O73,O112)</f>
        <v>3.3597403400000001</v>
      </c>
      <c r="P27" s="468">
        <f t="shared" si="25"/>
        <v>0</v>
      </c>
      <c r="Q27" s="330">
        <f t="shared" si="24"/>
        <v>3.8053999999999996E-4</v>
      </c>
    </row>
    <row r="28" spans="2:17" ht="26.25">
      <c r="B28" s="574" t="s">
        <v>274</v>
      </c>
      <c r="C28" s="579" t="s">
        <v>43</v>
      </c>
      <c r="D28" s="346">
        <f t="shared" si="1"/>
        <v>60.998620000000003</v>
      </c>
      <c r="E28" s="569">
        <f t="shared" si="2"/>
        <v>6.5262553551230003</v>
      </c>
      <c r="F28" s="467">
        <f t="shared" si="23"/>
        <v>0.44662558392200002</v>
      </c>
      <c r="G28" s="468">
        <f t="shared" si="23"/>
        <v>0.42431449319699999</v>
      </c>
      <c r="H28" s="468">
        <f t="shared" si="23"/>
        <v>5.6553152780040001</v>
      </c>
      <c r="I28" s="569">
        <f t="shared" si="3"/>
        <v>52.434744278030003</v>
      </c>
      <c r="J28" s="467">
        <f t="shared" si="24"/>
        <v>36.006740503796003</v>
      </c>
      <c r="K28" s="468">
        <f t="shared" si="24"/>
        <v>2.6750063826640003</v>
      </c>
      <c r="L28" s="470">
        <f t="shared" si="24"/>
        <v>13.75299739157</v>
      </c>
      <c r="M28" s="328">
        <f t="shared" si="24"/>
        <v>1.5905496390000002E-3</v>
      </c>
      <c r="N28" s="573">
        <f t="shared" si="5"/>
        <v>3.4675114194000003E-2</v>
      </c>
      <c r="O28" s="468">
        <f t="shared" si="25"/>
        <v>3.4675114194000003E-2</v>
      </c>
      <c r="P28" s="468">
        <f t="shared" si="25"/>
        <v>0</v>
      </c>
      <c r="Q28" s="328">
        <f t="shared" si="24"/>
        <v>2.001354703014</v>
      </c>
    </row>
    <row r="29" spans="2:17">
      <c r="B29" s="580" t="s">
        <v>278</v>
      </c>
      <c r="C29" s="581" t="s">
        <v>598</v>
      </c>
      <c r="D29" s="346">
        <f t="shared" si="1"/>
        <v>7.5381100000000005</v>
      </c>
      <c r="E29" s="569">
        <f t="shared" si="2"/>
        <v>2.0473502973522941</v>
      </c>
      <c r="F29" s="570">
        <f>SUM(F30:F32)</f>
        <v>0.14011082501239541</v>
      </c>
      <c r="G29" s="571">
        <f>SUM(G30:G32)</f>
        <v>0.13311161708311545</v>
      </c>
      <c r="H29" s="572">
        <f>SUM(H30:H32)</f>
        <v>1.7741278552567832</v>
      </c>
      <c r="I29" s="569">
        <f t="shared" si="3"/>
        <v>5.4789578246856001</v>
      </c>
      <c r="J29" s="570">
        <f t="shared" ref="J29:Q29" si="26">SUM(J30:J32)</f>
        <v>2.9412962368702154</v>
      </c>
      <c r="K29" s="571">
        <f t="shared" si="26"/>
        <v>2.4582938253428983</v>
      </c>
      <c r="L29" s="572">
        <f t="shared" si="26"/>
        <v>7.9367762472486114E-2</v>
      </c>
      <c r="M29" s="569">
        <f t="shared" si="26"/>
        <v>4.9897101770680799E-4</v>
      </c>
      <c r="N29" s="573">
        <f t="shared" si="5"/>
        <v>1.0877923325522794E-2</v>
      </c>
      <c r="O29" s="571">
        <f t="shared" si="26"/>
        <v>1.0877923325522794E-2</v>
      </c>
      <c r="P29" s="571">
        <f t="shared" si="26"/>
        <v>0</v>
      </c>
      <c r="Q29" s="569">
        <f t="shared" si="26"/>
        <v>4.2498361887721031E-4</v>
      </c>
    </row>
    <row r="30" spans="2:17">
      <c r="B30" s="582" t="s">
        <v>280</v>
      </c>
      <c r="C30" s="583" t="s">
        <v>599</v>
      </c>
      <c r="D30" s="346">
        <f t="shared" si="1"/>
        <v>0</v>
      </c>
      <c r="E30" s="569">
        <f t="shared" si="2"/>
        <v>0</v>
      </c>
      <c r="F30" s="467">
        <f t="shared" ref="F30:H32" si="27">SUM(F53,F76,F115)</f>
        <v>0</v>
      </c>
      <c r="G30" s="468">
        <f t="shared" si="27"/>
        <v>0</v>
      </c>
      <c r="H30" s="468">
        <f t="shared" si="27"/>
        <v>0</v>
      </c>
      <c r="I30" s="569">
        <f t="shared" si="3"/>
        <v>0</v>
      </c>
      <c r="J30" s="467">
        <f t="shared" ref="J30:Q32" si="28">SUM(J53,J76,J115)</f>
        <v>0</v>
      </c>
      <c r="K30" s="468">
        <f t="shared" si="28"/>
        <v>0</v>
      </c>
      <c r="L30" s="470">
        <f t="shared" si="28"/>
        <v>0</v>
      </c>
      <c r="M30" s="328">
        <f t="shared" si="28"/>
        <v>0</v>
      </c>
      <c r="N30" s="573">
        <f t="shared" si="5"/>
        <v>0</v>
      </c>
      <c r="O30" s="468">
        <f t="shared" ref="O30:P32" si="29">SUM(O53,O76,O115)</f>
        <v>0</v>
      </c>
      <c r="P30" s="468">
        <f t="shared" si="29"/>
        <v>0</v>
      </c>
      <c r="Q30" s="328">
        <f t="shared" si="28"/>
        <v>0</v>
      </c>
    </row>
    <row r="31" spans="2:17">
      <c r="B31" s="582" t="s">
        <v>600</v>
      </c>
      <c r="C31" s="583" t="s">
        <v>599</v>
      </c>
      <c r="D31" s="346">
        <f t="shared" si="1"/>
        <v>0</v>
      </c>
      <c r="E31" s="569">
        <f t="shared" si="2"/>
        <v>0</v>
      </c>
      <c r="F31" s="467">
        <f t="shared" si="27"/>
        <v>0</v>
      </c>
      <c r="G31" s="468">
        <f t="shared" si="27"/>
        <v>0</v>
      </c>
      <c r="H31" s="468">
        <f t="shared" si="27"/>
        <v>0</v>
      </c>
      <c r="I31" s="569">
        <f t="shared" si="3"/>
        <v>0</v>
      </c>
      <c r="J31" s="467">
        <f t="shared" si="28"/>
        <v>0</v>
      </c>
      <c r="K31" s="468">
        <f t="shared" si="28"/>
        <v>0</v>
      </c>
      <c r="L31" s="470">
        <f t="shared" si="28"/>
        <v>0</v>
      </c>
      <c r="M31" s="328">
        <f t="shared" si="28"/>
        <v>0</v>
      </c>
      <c r="N31" s="573">
        <f t="shared" si="5"/>
        <v>0</v>
      </c>
      <c r="O31" s="468">
        <f t="shared" si="29"/>
        <v>0</v>
      </c>
      <c r="P31" s="468">
        <f t="shared" si="29"/>
        <v>0</v>
      </c>
      <c r="Q31" s="328">
        <f t="shared" si="28"/>
        <v>0</v>
      </c>
    </row>
    <row r="32" spans="2:17">
      <c r="B32" s="584" t="s">
        <v>601</v>
      </c>
      <c r="C32" s="585" t="s">
        <v>599</v>
      </c>
      <c r="D32" s="586">
        <f t="shared" si="1"/>
        <v>7.5381100000000005</v>
      </c>
      <c r="E32" s="587">
        <f t="shared" si="2"/>
        <v>2.0473502973522941</v>
      </c>
      <c r="F32" s="588">
        <f t="shared" si="27"/>
        <v>0.14011082501239541</v>
      </c>
      <c r="G32" s="589">
        <f t="shared" si="27"/>
        <v>0.13311161708311545</v>
      </c>
      <c r="H32" s="589">
        <f t="shared" si="27"/>
        <v>1.7741278552567832</v>
      </c>
      <c r="I32" s="587">
        <f t="shared" si="3"/>
        <v>5.4789578246856001</v>
      </c>
      <c r="J32" s="576">
        <f t="shared" si="28"/>
        <v>2.9412962368702154</v>
      </c>
      <c r="K32" s="577">
        <f t="shared" si="28"/>
        <v>2.4582938253428983</v>
      </c>
      <c r="L32" s="590">
        <f t="shared" si="28"/>
        <v>7.9367762472486114E-2</v>
      </c>
      <c r="M32" s="330">
        <f t="shared" si="28"/>
        <v>4.9897101770680799E-4</v>
      </c>
      <c r="N32" s="591">
        <f t="shared" si="5"/>
        <v>1.0877923325522794E-2</v>
      </c>
      <c r="O32" s="577">
        <f t="shared" si="29"/>
        <v>1.0877923325522794E-2</v>
      </c>
      <c r="P32" s="577">
        <f t="shared" si="29"/>
        <v>0</v>
      </c>
      <c r="Q32" s="592">
        <f t="shared" si="28"/>
        <v>4.2498361887721031E-4</v>
      </c>
    </row>
    <row r="33" spans="2:17">
      <c r="B33" s="549" t="s">
        <v>53</v>
      </c>
      <c r="C33" s="549" t="s">
        <v>602</v>
      </c>
      <c r="D33" s="134">
        <f t="shared" si="1"/>
        <v>6344.3012400000016</v>
      </c>
      <c r="E33" s="550">
        <f t="shared" ref="E33:Q33" si="30">E34+E38+E43+E46+E49+E52</f>
        <v>2134.50936</v>
      </c>
      <c r="F33" s="551">
        <f t="shared" si="30"/>
        <v>199.93477000000001</v>
      </c>
      <c r="G33" s="552">
        <f t="shared" si="30"/>
        <v>194.84750000000003</v>
      </c>
      <c r="H33" s="553">
        <f t="shared" si="30"/>
        <v>1739.7270899999999</v>
      </c>
      <c r="I33" s="550">
        <f t="shared" si="30"/>
        <v>4155.982210000001</v>
      </c>
      <c r="J33" s="551">
        <f t="shared" si="30"/>
        <v>2183.9838500000001</v>
      </c>
      <c r="K33" s="552">
        <f t="shared" si="30"/>
        <v>1884.1253099999999</v>
      </c>
      <c r="L33" s="553">
        <f t="shared" si="30"/>
        <v>87.873049999999992</v>
      </c>
      <c r="M33" s="550">
        <f t="shared" si="30"/>
        <v>2.35</v>
      </c>
      <c r="N33" s="554">
        <f t="shared" si="30"/>
        <v>49.459670000000003</v>
      </c>
      <c r="O33" s="552">
        <f t="shared" si="30"/>
        <v>49.459670000000003</v>
      </c>
      <c r="P33" s="552">
        <f t="shared" si="30"/>
        <v>0</v>
      </c>
      <c r="Q33" s="550">
        <f t="shared" si="30"/>
        <v>2</v>
      </c>
    </row>
    <row r="34" spans="2:17">
      <c r="B34" s="556" t="s">
        <v>55</v>
      </c>
      <c r="C34" s="557" t="s">
        <v>8</v>
      </c>
      <c r="D34" s="144">
        <f t="shared" si="1"/>
        <v>0</v>
      </c>
      <c r="E34" s="145">
        <f t="shared" ref="E34:E55" si="31">SUM(F34:H34)</f>
        <v>0</v>
      </c>
      <c r="F34" s="146">
        <f>SUM(F35:F37)</f>
        <v>0</v>
      </c>
      <c r="G34" s="147">
        <f>SUM(G35:G37)</f>
        <v>0</v>
      </c>
      <c r="H34" s="480">
        <f>SUM(H35:H37)</f>
        <v>0</v>
      </c>
      <c r="I34" s="145">
        <f t="shared" ref="I34:I55" si="32">SUM(J34:L34)</f>
        <v>0</v>
      </c>
      <c r="J34" s="146">
        <f t="shared" ref="J34:Q34" si="33">SUM(J35:J37)</f>
        <v>0</v>
      </c>
      <c r="K34" s="147">
        <f t="shared" si="33"/>
        <v>0</v>
      </c>
      <c r="L34" s="480">
        <f t="shared" si="33"/>
        <v>0</v>
      </c>
      <c r="M34" s="145">
        <f t="shared" si="33"/>
        <v>0</v>
      </c>
      <c r="N34" s="149">
        <f t="shared" ref="N34:N55" si="34">SUM(O34:P34)</f>
        <v>0</v>
      </c>
      <c r="O34" s="147">
        <f t="shared" si="33"/>
        <v>0</v>
      </c>
      <c r="P34" s="147">
        <f t="shared" si="33"/>
        <v>0</v>
      </c>
      <c r="Q34" s="145">
        <f t="shared" si="33"/>
        <v>0</v>
      </c>
    </row>
    <row r="35" spans="2:17">
      <c r="B35" s="558" t="s">
        <v>133</v>
      </c>
      <c r="C35" s="559" t="s">
        <v>10</v>
      </c>
      <c r="D35" s="144">
        <f t="shared" si="1"/>
        <v>0</v>
      </c>
      <c r="E35" s="145">
        <f t="shared" si="31"/>
        <v>0</v>
      </c>
      <c r="F35" s="321">
        <v>0</v>
      </c>
      <c r="G35" s="322">
        <v>0</v>
      </c>
      <c r="H35" s="593">
        <v>0</v>
      </c>
      <c r="I35" s="145">
        <f t="shared" si="32"/>
        <v>0</v>
      </c>
      <c r="J35" s="321">
        <v>0</v>
      </c>
      <c r="K35" s="322">
        <v>0</v>
      </c>
      <c r="L35" s="593">
        <v>0</v>
      </c>
      <c r="M35" s="327">
        <v>0</v>
      </c>
      <c r="N35" s="149">
        <f t="shared" si="34"/>
        <v>0</v>
      </c>
      <c r="O35" s="322">
        <v>0</v>
      </c>
      <c r="P35" s="323">
        <v>0</v>
      </c>
      <c r="Q35" s="248">
        <v>0</v>
      </c>
    </row>
    <row r="36" spans="2:17">
      <c r="B36" s="558" t="s">
        <v>135</v>
      </c>
      <c r="C36" s="559" t="s">
        <v>11</v>
      </c>
      <c r="D36" s="144">
        <f t="shared" si="1"/>
        <v>0</v>
      </c>
      <c r="E36" s="145">
        <f t="shared" si="31"/>
        <v>0</v>
      </c>
      <c r="F36" s="321">
        <v>0</v>
      </c>
      <c r="G36" s="322">
        <v>0</v>
      </c>
      <c r="H36" s="593">
        <v>0</v>
      </c>
      <c r="I36" s="145">
        <f t="shared" si="32"/>
        <v>0</v>
      </c>
      <c r="J36" s="321">
        <v>0</v>
      </c>
      <c r="K36" s="322">
        <v>0</v>
      </c>
      <c r="L36" s="593">
        <v>0</v>
      </c>
      <c r="M36" s="327">
        <v>0</v>
      </c>
      <c r="N36" s="149">
        <f t="shared" si="34"/>
        <v>0</v>
      </c>
      <c r="O36" s="322">
        <v>0</v>
      </c>
      <c r="P36" s="323">
        <v>0</v>
      </c>
      <c r="Q36" s="248">
        <v>0</v>
      </c>
    </row>
    <row r="37" spans="2:17">
      <c r="B37" s="558" t="s">
        <v>137</v>
      </c>
      <c r="C37" s="559" t="s">
        <v>13</v>
      </c>
      <c r="D37" s="144">
        <f t="shared" si="1"/>
        <v>0</v>
      </c>
      <c r="E37" s="145">
        <f t="shared" si="31"/>
        <v>0</v>
      </c>
      <c r="F37" s="321">
        <v>0</v>
      </c>
      <c r="G37" s="322">
        <v>0</v>
      </c>
      <c r="H37" s="593">
        <v>0</v>
      </c>
      <c r="I37" s="145">
        <f t="shared" si="32"/>
        <v>0</v>
      </c>
      <c r="J37" s="321">
        <v>0</v>
      </c>
      <c r="K37" s="322">
        <v>0</v>
      </c>
      <c r="L37" s="593">
        <v>0</v>
      </c>
      <c r="M37" s="327">
        <v>0</v>
      </c>
      <c r="N37" s="149">
        <f t="shared" si="34"/>
        <v>0</v>
      </c>
      <c r="O37" s="322">
        <v>0</v>
      </c>
      <c r="P37" s="323">
        <v>0</v>
      </c>
      <c r="Q37" s="248">
        <v>0</v>
      </c>
    </row>
    <row r="38" spans="2:17">
      <c r="B38" s="556" t="s">
        <v>138</v>
      </c>
      <c r="C38" s="560" t="s">
        <v>15</v>
      </c>
      <c r="D38" s="144">
        <f t="shared" si="1"/>
        <v>5999.2016000000003</v>
      </c>
      <c r="E38" s="145">
        <f t="shared" si="31"/>
        <v>2019.2982500000001</v>
      </c>
      <c r="F38" s="146">
        <f>SUM(F39:F42)</f>
        <v>115.48325</v>
      </c>
      <c r="G38" s="147">
        <f>SUM(G39:G42)</f>
        <v>185.08562000000001</v>
      </c>
      <c r="H38" s="480">
        <f>SUM(H39:H42)</f>
        <v>1718.72938</v>
      </c>
      <c r="I38" s="145">
        <f t="shared" si="32"/>
        <v>3979.9033500000005</v>
      </c>
      <c r="J38" s="146">
        <f t="shared" ref="J38:Q38" si="35">SUM(J39:J42)</f>
        <v>2061.6190900000001</v>
      </c>
      <c r="K38" s="147">
        <f t="shared" si="35"/>
        <v>1865.5655899999999</v>
      </c>
      <c r="L38" s="480">
        <f t="shared" si="35"/>
        <v>52.718669999999996</v>
      </c>
      <c r="M38" s="145">
        <f t="shared" si="35"/>
        <v>0</v>
      </c>
      <c r="N38" s="149">
        <f t="shared" si="34"/>
        <v>0</v>
      </c>
      <c r="O38" s="147">
        <f t="shared" si="35"/>
        <v>0</v>
      </c>
      <c r="P38" s="148">
        <f t="shared" si="35"/>
        <v>0</v>
      </c>
      <c r="Q38" s="145">
        <f t="shared" si="35"/>
        <v>0</v>
      </c>
    </row>
    <row r="39" spans="2:17">
      <c r="B39" s="558" t="s">
        <v>140</v>
      </c>
      <c r="C39" s="559" t="s">
        <v>17</v>
      </c>
      <c r="D39" s="144">
        <f t="shared" si="1"/>
        <v>729.71646999999996</v>
      </c>
      <c r="E39" s="145">
        <f t="shared" si="31"/>
        <v>102.56725999999999</v>
      </c>
      <c r="F39" s="321">
        <v>87.540750000000003</v>
      </c>
      <c r="G39" s="322">
        <v>13.743980000000001</v>
      </c>
      <c r="H39" s="593">
        <v>1.2825299999999999</v>
      </c>
      <c r="I39" s="145">
        <f t="shared" si="32"/>
        <v>627.14920999999993</v>
      </c>
      <c r="J39" s="321">
        <v>169.20491999999999</v>
      </c>
      <c r="K39" s="322">
        <v>425.24619000000001</v>
      </c>
      <c r="L39" s="593">
        <v>32.698099999999997</v>
      </c>
      <c r="M39" s="327">
        <v>0</v>
      </c>
      <c r="N39" s="149">
        <f t="shared" si="34"/>
        <v>0</v>
      </c>
      <c r="O39" s="322">
        <v>0</v>
      </c>
      <c r="P39" s="323">
        <v>0</v>
      </c>
      <c r="Q39" s="248">
        <v>0</v>
      </c>
    </row>
    <row r="40" spans="2:17">
      <c r="B40" s="558" t="s">
        <v>142</v>
      </c>
      <c r="C40" s="559" t="s">
        <v>591</v>
      </c>
      <c r="D40" s="144">
        <f t="shared" si="1"/>
        <v>37.857769999999995</v>
      </c>
      <c r="E40" s="145">
        <f t="shared" si="31"/>
        <v>0</v>
      </c>
      <c r="F40" s="321">
        <v>0</v>
      </c>
      <c r="G40" s="322">
        <v>0</v>
      </c>
      <c r="H40" s="593">
        <v>0</v>
      </c>
      <c r="I40" s="145">
        <f t="shared" si="32"/>
        <v>37.857769999999995</v>
      </c>
      <c r="J40" s="321">
        <v>1.52101</v>
      </c>
      <c r="K40" s="322">
        <v>36.336759999999998</v>
      </c>
      <c r="L40" s="593">
        <v>0</v>
      </c>
      <c r="M40" s="327">
        <v>0</v>
      </c>
      <c r="N40" s="149">
        <f t="shared" si="34"/>
        <v>0</v>
      </c>
      <c r="O40" s="322">
        <v>0</v>
      </c>
      <c r="P40" s="323">
        <v>0</v>
      </c>
      <c r="Q40" s="248">
        <v>0</v>
      </c>
    </row>
    <row r="41" spans="2:17">
      <c r="B41" s="558" t="s">
        <v>603</v>
      </c>
      <c r="C41" s="559" t="s">
        <v>23</v>
      </c>
      <c r="D41" s="144">
        <f t="shared" si="1"/>
        <v>3470.81178</v>
      </c>
      <c r="E41" s="145">
        <f t="shared" si="31"/>
        <v>1707.12808</v>
      </c>
      <c r="F41" s="321">
        <v>0</v>
      </c>
      <c r="G41" s="322">
        <v>0</v>
      </c>
      <c r="H41" s="593">
        <v>1707.12808</v>
      </c>
      <c r="I41" s="145">
        <f t="shared" si="32"/>
        <v>1763.6837</v>
      </c>
      <c r="J41" s="321">
        <v>1763.6837</v>
      </c>
      <c r="K41" s="322">
        <v>0</v>
      </c>
      <c r="L41" s="593">
        <v>0</v>
      </c>
      <c r="M41" s="327">
        <v>0</v>
      </c>
      <c r="N41" s="149">
        <f t="shared" si="34"/>
        <v>0</v>
      </c>
      <c r="O41" s="322">
        <v>0</v>
      </c>
      <c r="P41" s="323">
        <v>0</v>
      </c>
      <c r="Q41" s="248">
        <v>0</v>
      </c>
    </row>
    <row r="42" spans="2:17" ht="38.25">
      <c r="B42" s="558" t="s">
        <v>604</v>
      </c>
      <c r="C42" s="559" t="s">
        <v>593</v>
      </c>
      <c r="D42" s="144">
        <f t="shared" si="1"/>
        <v>1760.81558</v>
      </c>
      <c r="E42" s="145">
        <f t="shared" si="31"/>
        <v>209.60291000000001</v>
      </c>
      <c r="F42" s="321">
        <v>27.942499999999999</v>
      </c>
      <c r="G42" s="322">
        <v>171.34164000000001</v>
      </c>
      <c r="H42" s="593">
        <v>10.318770000000001</v>
      </c>
      <c r="I42" s="145">
        <f t="shared" si="32"/>
        <v>1551.2126699999999</v>
      </c>
      <c r="J42" s="321">
        <v>127.20946000000001</v>
      </c>
      <c r="K42" s="322">
        <v>1403.9826399999999</v>
      </c>
      <c r="L42" s="593">
        <v>20.020569999999999</v>
      </c>
      <c r="M42" s="327">
        <v>0</v>
      </c>
      <c r="N42" s="149">
        <f t="shared" si="34"/>
        <v>0</v>
      </c>
      <c r="O42" s="322">
        <v>0</v>
      </c>
      <c r="P42" s="323">
        <v>0</v>
      </c>
      <c r="Q42" s="248">
        <v>0</v>
      </c>
    </row>
    <row r="43" spans="2:17">
      <c r="B43" s="556" t="s">
        <v>298</v>
      </c>
      <c r="C43" s="562" t="s">
        <v>27</v>
      </c>
      <c r="D43" s="144">
        <f t="shared" si="1"/>
        <v>236.01472999999999</v>
      </c>
      <c r="E43" s="145">
        <f t="shared" si="31"/>
        <v>101.4671</v>
      </c>
      <c r="F43" s="146">
        <f>SUM(F44:F45)</f>
        <v>83.783990000000003</v>
      </c>
      <c r="G43" s="147">
        <f>SUM(G44:G45)</f>
        <v>1.2854000000000001</v>
      </c>
      <c r="H43" s="480">
        <f>SUM(H44:H45)</f>
        <v>16.39771</v>
      </c>
      <c r="I43" s="145">
        <f t="shared" si="32"/>
        <v>134.54763</v>
      </c>
      <c r="J43" s="146">
        <f t="shared" ref="J43:Q43" si="36">SUM(J44:J45)</f>
        <v>94.953869999999995</v>
      </c>
      <c r="K43" s="147">
        <f t="shared" si="36"/>
        <v>17.93938</v>
      </c>
      <c r="L43" s="480">
        <f t="shared" si="36"/>
        <v>21.65438</v>
      </c>
      <c r="M43" s="145">
        <f t="shared" si="36"/>
        <v>0</v>
      </c>
      <c r="N43" s="149">
        <f t="shared" si="34"/>
        <v>0</v>
      </c>
      <c r="O43" s="147">
        <f t="shared" si="36"/>
        <v>0</v>
      </c>
      <c r="P43" s="148">
        <f t="shared" si="36"/>
        <v>0</v>
      </c>
      <c r="Q43" s="145">
        <f t="shared" si="36"/>
        <v>0</v>
      </c>
    </row>
    <row r="44" spans="2:17" ht="51.75">
      <c r="B44" s="558" t="s">
        <v>300</v>
      </c>
      <c r="C44" s="563" t="s">
        <v>29</v>
      </c>
      <c r="D44" s="144">
        <f t="shared" si="1"/>
        <v>222.92473000000001</v>
      </c>
      <c r="E44" s="145">
        <f t="shared" si="31"/>
        <v>101.4671</v>
      </c>
      <c r="F44" s="321">
        <v>83.783990000000003</v>
      </c>
      <c r="G44" s="322">
        <v>1.2854000000000001</v>
      </c>
      <c r="H44" s="593">
        <v>16.39771</v>
      </c>
      <c r="I44" s="145">
        <f t="shared" si="32"/>
        <v>121.45762999999999</v>
      </c>
      <c r="J44" s="321">
        <v>88.263869999999997</v>
      </c>
      <c r="K44" s="322">
        <v>14.239380000000001</v>
      </c>
      <c r="L44" s="593">
        <v>18.95438</v>
      </c>
      <c r="M44" s="327">
        <v>0</v>
      </c>
      <c r="N44" s="149">
        <f t="shared" si="34"/>
        <v>0</v>
      </c>
      <c r="O44" s="322">
        <v>0</v>
      </c>
      <c r="P44" s="323">
        <v>0</v>
      </c>
      <c r="Q44" s="248">
        <v>0</v>
      </c>
    </row>
    <row r="45" spans="2:17">
      <c r="B45" s="558" t="s">
        <v>301</v>
      </c>
      <c r="C45" s="563" t="s">
        <v>31</v>
      </c>
      <c r="D45" s="144">
        <f t="shared" si="1"/>
        <v>13.09</v>
      </c>
      <c r="E45" s="145">
        <f t="shared" si="31"/>
        <v>0</v>
      </c>
      <c r="F45" s="321">
        <v>0</v>
      </c>
      <c r="G45" s="322">
        <v>0</v>
      </c>
      <c r="H45" s="593">
        <v>0</v>
      </c>
      <c r="I45" s="145">
        <f t="shared" si="32"/>
        <v>13.09</v>
      </c>
      <c r="J45" s="321">
        <v>6.69</v>
      </c>
      <c r="K45" s="322">
        <v>3.7</v>
      </c>
      <c r="L45" s="593">
        <v>2.7</v>
      </c>
      <c r="M45" s="327">
        <v>0</v>
      </c>
      <c r="N45" s="149">
        <f t="shared" si="34"/>
        <v>0</v>
      </c>
      <c r="O45" s="322">
        <v>0</v>
      </c>
      <c r="P45" s="323">
        <v>0</v>
      </c>
      <c r="Q45" s="248">
        <v>0</v>
      </c>
    </row>
    <row r="46" spans="2:17">
      <c r="B46" s="556" t="s">
        <v>303</v>
      </c>
      <c r="C46" s="562" t="s">
        <v>33</v>
      </c>
      <c r="D46" s="144">
        <f t="shared" si="1"/>
        <v>56.033680000000004</v>
      </c>
      <c r="E46" s="145">
        <f t="shared" si="31"/>
        <v>9.1440099999999997</v>
      </c>
      <c r="F46" s="146">
        <f>SUM(F47:F48)</f>
        <v>0.66752999999999996</v>
      </c>
      <c r="G46" s="147">
        <f>SUM(G47:G48)</f>
        <v>8.4764800000000005</v>
      </c>
      <c r="H46" s="480">
        <f>SUM(H47:H48)</f>
        <v>0</v>
      </c>
      <c r="I46" s="145">
        <f t="shared" si="32"/>
        <v>0.78</v>
      </c>
      <c r="J46" s="146">
        <f t="shared" ref="J46:Q46" si="37">SUM(J47:J48)</f>
        <v>0.78</v>
      </c>
      <c r="K46" s="147">
        <f t="shared" si="37"/>
        <v>0</v>
      </c>
      <c r="L46" s="480">
        <f t="shared" si="37"/>
        <v>0</v>
      </c>
      <c r="M46" s="145">
        <f t="shared" si="37"/>
        <v>0</v>
      </c>
      <c r="N46" s="149">
        <f t="shared" si="34"/>
        <v>46.109670000000001</v>
      </c>
      <c r="O46" s="147">
        <f t="shared" si="37"/>
        <v>46.109670000000001</v>
      </c>
      <c r="P46" s="148">
        <f t="shared" si="37"/>
        <v>0</v>
      </c>
      <c r="Q46" s="145">
        <f t="shared" si="37"/>
        <v>0</v>
      </c>
    </row>
    <row r="47" spans="2:17">
      <c r="B47" s="558" t="s">
        <v>304</v>
      </c>
      <c r="C47" s="563" t="s">
        <v>595</v>
      </c>
      <c r="D47" s="144">
        <f t="shared" si="1"/>
        <v>46.109670000000001</v>
      </c>
      <c r="E47" s="142">
        <f t="shared" si="31"/>
        <v>0</v>
      </c>
      <c r="F47" s="594">
        <v>0</v>
      </c>
      <c r="G47" s="595">
        <v>0</v>
      </c>
      <c r="H47" s="596">
        <v>0</v>
      </c>
      <c r="I47" s="142">
        <f t="shared" si="32"/>
        <v>0</v>
      </c>
      <c r="J47" s="594">
        <v>0</v>
      </c>
      <c r="K47" s="595">
        <v>0</v>
      </c>
      <c r="L47" s="596">
        <v>0</v>
      </c>
      <c r="M47" s="597">
        <v>0</v>
      </c>
      <c r="N47" s="566">
        <f t="shared" si="34"/>
        <v>46.109670000000001</v>
      </c>
      <c r="O47" s="595">
        <v>46.109670000000001</v>
      </c>
      <c r="P47" s="598">
        <v>0</v>
      </c>
      <c r="Q47" s="248">
        <v>0</v>
      </c>
    </row>
    <row r="48" spans="2:17" ht="26.25">
      <c r="B48" s="558" t="s">
        <v>304</v>
      </c>
      <c r="C48" s="599" t="s">
        <v>597</v>
      </c>
      <c r="D48" s="144">
        <f t="shared" si="1"/>
        <v>9.9240099999999991</v>
      </c>
      <c r="E48" s="142">
        <f t="shared" si="31"/>
        <v>9.1440099999999997</v>
      </c>
      <c r="F48" s="594">
        <v>0.66752999999999996</v>
      </c>
      <c r="G48" s="595">
        <v>8.4764800000000005</v>
      </c>
      <c r="H48" s="596">
        <v>0</v>
      </c>
      <c r="I48" s="142">
        <f t="shared" si="32"/>
        <v>0.78</v>
      </c>
      <c r="J48" s="594">
        <v>0.78</v>
      </c>
      <c r="K48" s="595">
        <v>0</v>
      </c>
      <c r="L48" s="596">
        <v>0</v>
      </c>
      <c r="M48" s="597">
        <v>0</v>
      </c>
      <c r="N48" s="566">
        <f t="shared" si="34"/>
        <v>0</v>
      </c>
      <c r="O48" s="595">
        <v>0</v>
      </c>
      <c r="P48" s="598">
        <v>0</v>
      </c>
      <c r="Q48" s="248">
        <v>0</v>
      </c>
    </row>
    <row r="49" spans="2:18">
      <c r="B49" s="556" t="s">
        <v>308</v>
      </c>
      <c r="C49" s="568" t="s">
        <v>39</v>
      </c>
      <c r="D49" s="346">
        <f t="shared" si="1"/>
        <v>52.430890000000005</v>
      </c>
      <c r="E49" s="569">
        <f t="shared" si="31"/>
        <v>4.5999999999999996</v>
      </c>
      <c r="F49" s="570">
        <f>SUM(F50:F51)</f>
        <v>0</v>
      </c>
      <c r="G49" s="571">
        <f>SUM(G50:G51)</f>
        <v>0</v>
      </c>
      <c r="H49" s="572">
        <f>SUM(H50:H51)</f>
        <v>4.5999999999999996</v>
      </c>
      <c r="I49" s="569">
        <f t="shared" si="32"/>
        <v>40.130890000000001</v>
      </c>
      <c r="J49" s="570">
        <f t="shared" ref="J49:Q49" si="38">SUM(J50:J51)</f>
        <v>26.630890000000001</v>
      </c>
      <c r="K49" s="571">
        <f t="shared" si="38"/>
        <v>0</v>
      </c>
      <c r="L49" s="572">
        <f t="shared" si="38"/>
        <v>13.5</v>
      </c>
      <c r="M49" s="569">
        <f t="shared" si="38"/>
        <v>2.35</v>
      </c>
      <c r="N49" s="573">
        <f t="shared" si="34"/>
        <v>3.35</v>
      </c>
      <c r="O49" s="571">
        <f t="shared" si="38"/>
        <v>3.35</v>
      </c>
      <c r="P49" s="600">
        <f t="shared" si="38"/>
        <v>0</v>
      </c>
      <c r="Q49" s="569">
        <f t="shared" si="38"/>
        <v>2</v>
      </c>
    </row>
    <row r="50" spans="2:18">
      <c r="B50" s="574" t="s">
        <v>310</v>
      </c>
      <c r="C50" s="575" t="s">
        <v>41</v>
      </c>
      <c r="D50" s="307">
        <f t="shared" si="1"/>
        <v>10.299999999999999</v>
      </c>
      <c r="E50" s="305">
        <f t="shared" si="31"/>
        <v>4.5999999999999996</v>
      </c>
      <c r="F50" s="601">
        <v>0</v>
      </c>
      <c r="G50" s="602">
        <v>0</v>
      </c>
      <c r="H50" s="603">
        <v>4.5999999999999996</v>
      </c>
      <c r="I50" s="305">
        <f t="shared" si="32"/>
        <v>0</v>
      </c>
      <c r="J50" s="601">
        <v>0</v>
      </c>
      <c r="K50" s="602">
        <v>0</v>
      </c>
      <c r="L50" s="603">
        <v>0</v>
      </c>
      <c r="M50" s="604">
        <v>2.35</v>
      </c>
      <c r="N50" s="578">
        <f t="shared" si="34"/>
        <v>3.35</v>
      </c>
      <c r="O50" s="602">
        <v>3.35</v>
      </c>
      <c r="P50" s="605">
        <v>0</v>
      </c>
      <c r="Q50" s="248">
        <v>0</v>
      </c>
    </row>
    <row r="51" spans="2:18" ht="26.25">
      <c r="B51" s="574" t="s">
        <v>312</v>
      </c>
      <c r="C51" s="579" t="s">
        <v>43</v>
      </c>
      <c r="D51" s="346">
        <f t="shared" si="1"/>
        <v>42.130890000000001</v>
      </c>
      <c r="E51" s="569">
        <f t="shared" si="31"/>
        <v>0</v>
      </c>
      <c r="F51" s="606">
        <v>0</v>
      </c>
      <c r="G51" s="607">
        <v>0</v>
      </c>
      <c r="H51" s="608">
        <v>0</v>
      </c>
      <c r="I51" s="569">
        <f t="shared" si="32"/>
        <v>40.130890000000001</v>
      </c>
      <c r="J51" s="606">
        <v>26.630890000000001</v>
      </c>
      <c r="K51" s="607">
        <v>0</v>
      </c>
      <c r="L51" s="608">
        <v>13.5</v>
      </c>
      <c r="M51" s="609">
        <v>0</v>
      </c>
      <c r="N51" s="573">
        <f t="shared" si="34"/>
        <v>0</v>
      </c>
      <c r="O51" s="607">
        <v>0</v>
      </c>
      <c r="P51" s="610">
        <v>0</v>
      </c>
      <c r="Q51" s="248">
        <v>2</v>
      </c>
    </row>
    <row r="52" spans="2:18">
      <c r="B52" s="580" t="s">
        <v>314</v>
      </c>
      <c r="C52" s="581" t="s">
        <v>598</v>
      </c>
      <c r="D52" s="346">
        <f t="shared" si="1"/>
        <v>0.62034</v>
      </c>
      <c r="E52" s="569">
        <f t="shared" si="31"/>
        <v>0</v>
      </c>
      <c r="F52" s="570">
        <f>SUM(F53:F55)</f>
        <v>0</v>
      </c>
      <c r="G52" s="571">
        <f>SUM(G53:G55)</f>
        <v>0</v>
      </c>
      <c r="H52" s="572">
        <f>SUM(H53:H55)</f>
        <v>0</v>
      </c>
      <c r="I52" s="569">
        <f t="shared" si="32"/>
        <v>0.62034</v>
      </c>
      <c r="J52" s="570">
        <f t="shared" ref="J52:Q52" si="39">SUM(J53:J55)</f>
        <v>0</v>
      </c>
      <c r="K52" s="571">
        <f t="shared" si="39"/>
        <v>0.62034</v>
      </c>
      <c r="L52" s="572">
        <f t="shared" si="39"/>
        <v>0</v>
      </c>
      <c r="M52" s="569">
        <f t="shared" si="39"/>
        <v>0</v>
      </c>
      <c r="N52" s="573">
        <f t="shared" si="34"/>
        <v>0</v>
      </c>
      <c r="O52" s="571">
        <f t="shared" si="39"/>
        <v>0</v>
      </c>
      <c r="P52" s="600">
        <f t="shared" si="39"/>
        <v>0</v>
      </c>
      <c r="Q52" s="569">
        <f t="shared" si="39"/>
        <v>0</v>
      </c>
    </row>
    <row r="53" spans="2:18">
      <c r="B53" s="582" t="s">
        <v>316</v>
      </c>
      <c r="C53" s="583" t="s">
        <v>599</v>
      </c>
      <c r="D53" s="346">
        <f t="shared" si="1"/>
        <v>0</v>
      </c>
      <c r="E53" s="569">
        <f t="shared" si="31"/>
        <v>0</v>
      </c>
      <c r="F53" s="606">
        <v>0</v>
      </c>
      <c r="G53" s="607">
        <v>0</v>
      </c>
      <c r="H53" s="608">
        <v>0</v>
      </c>
      <c r="I53" s="569">
        <f t="shared" si="32"/>
        <v>0</v>
      </c>
      <c r="J53" s="606">
        <v>0</v>
      </c>
      <c r="K53" s="607">
        <v>0</v>
      </c>
      <c r="L53" s="608">
        <v>0</v>
      </c>
      <c r="M53" s="609">
        <v>0</v>
      </c>
      <c r="N53" s="573">
        <f t="shared" si="34"/>
        <v>0</v>
      </c>
      <c r="O53" s="607">
        <v>0</v>
      </c>
      <c r="P53" s="610">
        <v>0</v>
      </c>
      <c r="Q53" s="248">
        <v>0</v>
      </c>
    </row>
    <row r="54" spans="2:18">
      <c r="B54" s="582" t="s">
        <v>605</v>
      </c>
      <c r="C54" s="583" t="s">
        <v>599</v>
      </c>
      <c r="D54" s="346">
        <f t="shared" si="1"/>
        <v>0</v>
      </c>
      <c r="E54" s="569">
        <f t="shared" si="31"/>
        <v>0</v>
      </c>
      <c r="F54" s="606">
        <v>0</v>
      </c>
      <c r="G54" s="607">
        <v>0</v>
      </c>
      <c r="H54" s="608">
        <v>0</v>
      </c>
      <c r="I54" s="569">
        <f t="shared" si="32"/>
        <v>0</v>
      </c>
      <c r="J54" s="606">
        <v>0</v>
      </c>
      <c r="K54" s="607">
        <v>0</v>
      </c>
      <c r="L54" s="608">
        <v>0</v>
      </c>
      <c r="M54" s="609">
        <v>0</v>
      </c>
      <c r="N54" s="573">
        <f t="shared" si="34"/>
        <v>0</v>
      </c>
      <c r="O54" s="607">
        <v>0</v>
      </c>
      <c r="P54" s="610">
        <v>0</v>
      </c>
      <c r="Q54" s="248">
        <v>0</v>
      </c>
    </row>
    <row r="55" spans="2:18">
      <c r="B55" s="584" t="s">
        <v>606</v>
      </c>
      <c r="C55" s="585" t="s">
        <v>599</v>
      </c>
      <c r="D55" s="586">
        <f t="shared" si="1"/>
        <v>0.62034</v>
      </c>
      <c r="E55" s="587">
        <f t="shared" si="31"/>
        <v>0</v>
      </c>
      <c r="F55" s="611">
        <v>0</v>
      </c>
      <c r="G55" s="612">
        <v>0</v>
      </c>
      <c r="H55" s="613">
        <v>0</v>
      </c>
      <c r="I55" s="587">
        <f t="shared" si="32"/>
        <v>0.62034</v>
      </c>
      <c r="J55" s="611">
        <v>0</v>
      </c>
      <c r="K55" s="612">
        <v>0.62034</v>
      </c>
      <c r="L55" s="613">
        <v>0</v>
      </c>
      <c r="M55" s="614">
        <v>0</v>
      </c>
      <c r="N55" s="591">
        <f t="shared" si="34"/>
        <v>0</v>
      </c>
      <c r="O55" s="612">
        <v>0</v>
      </c>
      <c r="P55" s="615">
        <v>0</v>
      </c>
      <c r="Q55" s="616">
        <v>0</v>
      </c>
    </row>
    <row r="56" spans="2:18">
      <c r="B56" s="549" t="s">
        <v>59</v>
      </c>
      <c r="C56" s="549" t="s">
        <v>607</v>
      </c>
      <c r="D56" s="134">
        <f t="shared" ref="D56:Q56" si="40">D57+D61+D66+D69+D72+D75</f>
        <v>94.970479999999995</v>
      </c>
      <c r="E56" s="550">
        <f t="shared" si="40"/>
        <v>32.849823676647993</v>
      </c>
      <c r="F56" s="551">
        <f t="shared" si="40"/>
        <v>2.2480842202720002</v>
      </c>
      <c r="G56" s="552">
        <f t="shared" si="40"/>
        <v>2.1357816276719999</v>
      </c>
      <c r="H56" s="553">
        <f t="shared" si="40"/>
        <v>28.465957828703996</v>
      </c>
      <c r="I56" s="550">
        <f t="shared" si="40"/>
        <v>61.931294683280001</v>
      </c>
      <c r="J56" s="551">
        <f t="shared" si="40"/>
        <v>47.193224768096009</v>
      </c>
      <c r="K56" s="552">
        <f t="shared" si="40"/>
        <v>13.464610748863999</v>
      </c>
      <c r="L56" s="553">
        <f t="shared" si="40"/>
        <v>1.2734591663199999</v>
      </c>
      <c r="M56" s="550">
        <f t="shared" si="40"/>
        <v>8.006011464000002E-3</v>
      </c>
      <c r="N56" s="554">
        <f t="shared" si="40"/>
        <v>0.174536748144</v>
      </c>
      <c r="O56" s="552">
        <f t="shared" si="40"/>
        <v>0.174536748144</v>
      </c>
      <c r="P56" s="555">
        <f t="shared" si="40"/>
        <v>0</v>
      </c>
      <c r="Q56" s="550">
        <f t="shared" si="40"/>
        <v>6.8188804640000001E-3</v>
      </c>
      <c r="R56" s="617"/>
    </row>
    <row r="57" spans="2:18">
      <c r="B57" s="556" t="s">
        <v>147</v>
      </c>
      <c r="C57" s="557" t="s">
        <v>8</v>
      </c>
      <c r="D57" s="144">
        <f>SUM(D58:D60)</f>
        <v>1.1100000000000001</v>
      </c>
      <c r="E57" s="145">
        <f t="shared" ref="E57:E78" si="41">SUM(F57:H57)</f>
        <v>0.38394356100000004</v>
      </c>
      <c r="F57" s="146">
        <f>SUM(F58:F60)</f>
        <v>2.6275254000000001E-2</v>
      </c>
      <c r="G57" s="147">
        <f>SUM(G58:G60)</f>
        <v>2.4962678999999998E-2</v>
      </c>
      <c r="H57" s="480">
        <f>SUM(H58:H60)</f>
        <v>0.33270562800000003</v>
      </c>
      <c r="I57" s="145">
        <f t="shared" ref="I57:I78" si="42">SUM(J57:L57)</f>
        <v>0.72384321000000007</v>
      </c>
      <c r="J57" s="146">
        <f t="shared" ref="J57:Q57" si="43">SUM(J58:J60)</f>
        <v>0.55158697200000006</v>
      </c>
      <c r="K57" s="147">
        <f t="shared" si="43"/>
        <v>0.15737224800000002</v>
      </c>
      <c r="L57" s="480">
        <f t="shared" si="43"/>
        <v>1.488399E-2</v>
      </c>
      <c r="M57" s="145">
        <f t="shared" si="43"/>
        <v>9.3573000000000007E-5</v>
      </c>
      <c r="N57" s="149">
        <f t="shared" ref="N57:N78" si="44">SUM(O57:P57)</f>
        <v>2.0399580000000001E-3</v>
      </c>
      <c r="O57" s="147">
        <f t="shared" si="43"/>
        <v>2.0399580000000001E-3</v>
      </c>
      <c r="P57" s="148">
        <f t="shared" si="43"/>
        <v>0</v>
      </c>
      <c r="Q57" s="145">
        <f t="shared" si="43"/>
        <v>7.9698000000000008E-5</v>
      </c>
    </row>
    <row r="58" spans="2:18">
      <c r="B58" s="558" t="s">
        <v>406</v>
      </c>
      <c r="C58" s="559" t="s">
        <v>10</v>
      </c>
      <c r="D58" s="324">
        <v>1.1100000000000001</v>
      </c>
      <c r="E58" s="320">
        <f t="shared" si="41"/>
        <v>0.38394356100000004</v>
      </c>
      <c r="F58" s="372">
        <f t="shared" ref="F58:H60" si="45">IFERROR($D58*F80/100, 0)</f>
        <v>2.6275254000000001E-2</v>
      </c>
      <c r="G58" s="373">
        <f t="shared" si="45"/>
        <v>2.4962678999999998E-2</v>
      </c>
      <c r="H58" s="618">
        <f t="shared" si="45"/>
        <v>0.33270562800000003</v>
      </c>
      <c r="I58" s="320">
        <f t="shared" si="42"/>
        <v>0.72384321000000007</v>
      </c>
      <c r="J58" s="372">
        <f t="shared" ref="J58:Q60" si="46">IFERROR($D58*J80/100, 0)</f>
        <v>0.55158697200000006</v>
      </c>
      <c r="K58" s="373">
        <f t="shared" si="46"/>
        <v>0.15737224800000002</v>
      </c>
      <c r="L58" s="618">
        <f t="shared" si="46"/>
        <v>1.488399E-2</v>
      </c>
      <c r="M58" s="320">
        <f t="shared" si="46"/>
        <v>9.3573000000000007E-5</v>
      </c>
      <c r="N58" s="619">
        <f t="shared" si="44"/>
        <v>2.0399580000000001E-3</v>
      </c>
      <c r="O58" s="373">
        <f t="shared" ref="O58:P60" si="47">IFERROR($D58*O80/100, 0)</f>
        <v>2.0399580000000001E-3</v>
      </c>
      <c r="P58" s="374">
        <f t="shared" si="47"/>
        <v>0</v>
      </c>
      <c r="Q58" s="320">
        <f t="shared" si="46"/>
        <v>7.9698000000000008E-5</v>
      </c>
    </row>
    <row r="59" spans="2:18">
      <c r="B59" s="558" t="s">
        <v>407</v>
      </c>
      <c r="C59" s="559" t="s">
        <v>11</v>
      </c>
      <c r="D59" s="324">
        <v>0</v>
      </c>
      <c r="E59" s="320">
        <f t="shared" si="41"/>
        <v>0</v>
      </c>
      <c r="F59" s="372">
        <f t="shared" si="45"/>
        <v>0</v>
      </c>
      <c r="G59" s="373">
        <f t="shared" si="45"/>
        <v>0</v>
      </c>
      <c r="H59" s="618">
        <f t="shared" si="45"/>
        <v>0</v>
      </c>
      <c r="I59" s="320">
        <f t="shared" si="42"/>
        <v>0</v>
      </c>
      <c r="J59" s="372">
        <f t="shared" si="46"/>
        <v>0</v>
      </c>
      <c r="K59" s="373">
        <f t="shared" si="46"/>
        <v>0</v>
      </c>
      <c r="L59" s="618">
        <f t="shared" si="46"/>
        <v>0</v>
      </c>
      <c r="M59" s="320">
        <f t="shared" si="46"/>
        <v>0</v>
      </c>
      <c r="N59" s="619">
        <f t="shared" si="44"/>
        <v>0</v>
      </c>
      <c r="O59" s="373">
        <f t="shared" si="47"/>
        <v>0</v>
      </c>
      <c r="P59" s="374">
        <f t="shared" si="47"/>
        <v>0</v>
      </c>
      <c r="Q59" s="320">
        <f t="shared" si="46"/>
        <v>0</v>
      </c>
    </row>
    <row r="60" spans="2:18">
      <c r="B60" s="558" t="s">
        <v>608</v>
      </c>
      <c r="C60" s="559" t="s">
        <v>13</v>
      </c>
      <c r="D60" s="324">
        <v>0</v>
      </c>
      <c r="E60" s="320">
        <f t="shared" si="41"/>
        <v>0</v>
      </c>
      <c r="F60" s="372">
        <f t="shared" si="45"/>
        <v>0</v>
      </c>
      <c r="G60" s="373">
        <f t="shared" si="45"/>
        <v>0</v>
      </c>
      <c r="H60" s="618">
        <f t="shared" si="45"/>
        <v>0</v>
      </c>
      <c r="I60" s="320">
        <f t="shared" si="42"/>
        <v>0</v>
      </c>
      <c r="J60" s="372">
        <f t="shared" si="46"/>
        <v>0</v>
      </c>
      <c r="K60" s="373">
        <f t="shared" si="46"/>
        <v>0</v>
      </c>
      <c r="L60" s="618">
        <f t="shared" si="46"/>
        <v>0</v>
      </c>
      <c r="M60" s="320">
        <f t="shared" si="46"/>
        <v>0</v>
      </c>
      <c r="N60" s="619">
        <f t="shared" si="44"/>
        <v>0</v>
      </c>
      <c r="O60" s="373">
        <f t="shared" si="47"/>
        <v>0</v>
      </c>
      <c r="P60" s="374">
        <f t="shared" si="47"/>
        <v>0</v>
      </c>
      <c r="Q60" s="320">
        <f t="shared" si="46"/>
        <v>0</v>
      </c>
    </row>
    <row r="61" spans="2:18">
      <c r="B61" s="556" t="s">
        <v>149</v>
      </c>
      <c r="C61" s="560" t="s">
        <v>15</v>
      </c>
      <c r="D61" s="144">
        <f>SUM(D62:D65)</f>
        <v>53.346359999999997</v>
      </c>
      <c r="E61" s="145">
        <f t="shared" si="41"/>
        <v>18.452244526836001</v>
      </c>
      <c r="F61" s="146">
        <f>SUM(F62:F65)</f>
        <v>1.2627830261039998</v>
      </c>
      <c r="G61" s="147">
        <f>SUM(G62:G65)</f>
        <v>1.1997009554039999</v>
      </c>
      <c r="H61" s="480">
        <f>SUM(H62:H65)</f>
        <v>15.989760545328</v>
      </c>
      <c r="I61" s="145">
        <f t="shared" si="42"/>
        <v>34.787748165960004</v>
      </c>
      <c r="J61" s="146">
        <f t="shared" ref="J61:Q61" si="48">SUM(J62:J65)</f>
        <v>26.509150612272002</v>
      </c>
      <c r="K61" s="147">
        <f t="shared" si="48"/>
        <v>7.5632762124479997</v>
      </c>
      <c r="L61" s="480">
        <f t="shared" si="48"/>
        <v>0.71532134123999991</v>
      </c>
      <c r="M61" s="145">
        <f t="shared" si="48"/>
        <v>4.497098148E-3</v>
      </c>
      <c r="N61" s="149">
        <f t="shared" si="44"/>
        <v>9.8039940407999987E-2</v>
      </c>
      <c r="O61" s="147">
        <f t="shared" si="48"/>
        <v>9.8039940407999987E-2</v>
      </c>
      <c r="P61" s="148">
        <f t="shared" si="48"/>
        <v>0</v>
      </c>
      <c r="Q61" s="145">
        <f t="shared" si="48"/>
        <v>3.830268648E-3</v>
      </c>
    </row>
    <row r="62" spans="2:18">
      <c r="B62" s="558" t="s">
        <v>151</v>
      </c>
      <c r="C62" s="559" t="s">
        <v>17</v>
      </c>
      <c r="D62" s="324">
        <v>53.346359999999997</v>
      </c>
      <c r="E62" s="320">
        <f t="shared" si="41"/>
        <v>18.452244526836001</v>
      </c>
      <c r="F62" s="372">
        <f t="shared" ref="F62:H65" si="49">IFERROR($D62*F83/100, 0)</f>
        <v>1.2627830261039998</v>
      </c>
      <c r="G62" s="373">
        <f t="shared" si="49"/>
        <v>1.1997009554039999</v>
      </c>
      <c r="H62" s="618">
        <f t="shared" si="49"/>
        <v>15.989760545328</v>
      </c>
      <c r="I62" s="320">
        <f t="shared" si="42"/>
        <v>34.787748165960004</v>
      </c>
      <c r="J62" s="372">
        <f t="shared" ref="J62:Q65" si="50">IFERROR($D62*J83/100, 0)</f>
        <v>26.509150612272002</v>
      </c>
      <c r="K62" s="373">
        <f t="shared" si="50"/>
        <v>7.5632762124479997</v>
      </c>
      <c r="L62" s="618">
        <f t="shared" si="50"/>
        <v>0.71532134123999991</v>
      </c>
      <c r="M62" s="320">
        <f t="shared" si="50"/>
        <v>4.497098148E-3</v>
      </c>
      <c r="N62" s="619">
        <f t="shared" si="44"/>
        <v>9.8039940407999987E-2</v>
      </c>
      <c r="O62" s="373">
        <f t="shared" ref="O62:P65" si="51">IFERROR($D62*O83/100, 0)</f>
        <v>9.8039940407999987E-2</v>
      </c>
      <c r="P62" s="374">
        <f t="shared" si="51"/>
        <v>0</v>
      </c>
      <c r="Q62" s="320">
        <f t="shared" si="50"/>
        <v>3.830268648E-3</v>
      </c>
    </row>
    <row r="63" spans="2:18">
      <c r="B63" s="558" t="s">
        <v>153</v>
      </c>
      <c r="C63" s="559" t="s">
        <v>591</v>
      </c>
      <c r="D63" s="324">
        <v>0</v>
      </c>
      <c r="E63" s="320">
        <f t="shared" si="41"/>
        <v>0</v>
      </c>
      <c r="F63" s="372">
        <f t="shared" si="49"/>
        <v>0</v>
      </c>
      <c r="G63" s="373">
        <f t="shared" si="49"/>
        <v>0</v>
      </c>
      <c r="H63" s="618">
        <f t="shared" si="49"/>
        <v>0</v>
      </c>
      <c r="I63" s="320">
        <f t="shared" si="42"/>
        <v>0</v>
      </c>
      <c r="J63" s="372">
        <f t="shared" si="50"/>
        <v>0</v>
      </c>
      <c r="K63" s="373">
        <f t="shared" si="50"/>
        <v>0</v>
      </c>
      <c r="L63" s="618">
        <f t="shared" si="50"/>
        <v>0</v>
      </c>
      <c r="M63" s="320">
        <f t="shared" si="50"/>
        <v>0</v>
      </c>
      <c r="N63" s="619">
        <f t="shared" si="44"/>
        <v>0</v>
      </c>
      <c r="O63" s="373">
        <f t="shared" si="51"/>
        <v>0</v>
      </c>
      <c r="P63" s="374">
        <f t="shared" si="51"/>
        <v>0</v>
      </c>
      <c r="Q63" s="320">
        <f t="shared" si="50"/>
        <v>0</v>
      </c>
    </row>
    <row r="64" spans="2:18">
      <c r="B64" s="558" t="s">
        <v>155</v>
      </c>
      <c r="C64" s="559" t="s">
        <v>23</v>
      </c>
      <c r="D64" s="324">
        <v>0</v>
      </c>
      <c r="E64" s="320">
        <f t="shared" si="41"/>
        <v>0</v>
      </c>
      <c r="F64" s="372">
        <f t="shared" si="49"/>
        <v>0</v>
      </c>
      <c r="G64" s="373">
        <f t="shared" si="49"/>
        <v>0</v>
      </c>
      <c r="H64" s="618">
        <f t="shared" si="49"/>
        <v>0</v>
      </c>
      <c r="I64" s="320">
        <f t="shared" si="42"/>
        <v>0</v>
      </c>
      <c r="J64" s="372">
        <f t="shared" si="50"/>
        <v>0</v>
      </c>
      <c r="K64" s="373">
        <f t="shared" si="50"/>
        <v>0</v>
      </c>
      <c r="L64" s="618">
        <f t="shared" si="50"/>
        <v>0</v>
      </c>
      <c r="M64" s="320">
        <f t="shared" si="50"/>
        <v>0</v>
      </c>
      <c r="N64" s="619">
        <f t="shared" si="44"/>
        <v>0</v>
      </c>
      <c r="O64" s="373">
        <f t="shared" si="51"/>
        <v>0</v>
      </c>
      <c r="P64" s="374">
        <f t="shared" si="51"/>
        <v>0</v>
      </c>
      <c r="Q64" s="320">
        <f t="shared" si="50"/>
        <v>0</v>
      </c>
    </row>
    <row r="65" spans="2:17" ht="38.25">
      <c r="B65" s="558" t="s">
        <v>609</v>
      </c>
      <c r="C65" s="559" t="s">
        <v>593</v>
      </c>
      <c r="D65" s="324">
        <v>0</v>
      </c>
      <c r="E65" s="320">
        <f t="shared" si="41"/>
        <v>0</v>
      </c>
      <c r="F65" s="372">
        <f t="shared" si="49"/>
        <v>0</v>
      </c>
      <c r="G65" s="373">
        <f t="shared" si="49"/>
        <v>0</v>
      </c>
      <c r="H65" s="618">
        <f t="shared" si="49"/>
        <v>0</v>
      </c>
      <c r="I65" s="320">
        <f t="shared" si="42"/>
        <v>0</v>
      </c>
      <c r="J65" s="372">
        <f t="shared" si="50"/>
        <v>0</v>
      </c>
      <c r="K65" s="373">
        <f t="shared" si="50"/>
        <v>0</v>
      </c>
      <c r="L65" s="618">
        <f t="shared" si="50"/>
        <v>0</v>
      </c>
      <c r="M65" s="320">
        <f t="shared" si="50"/>
        <v>0</v>
      </c>
      <c r="N65" s="619">
        <f t="shared" si="44"/>
        <v>0</v>
      </c>
      <c r="O65" s="373">
        <f t="shared" si="51"/>
        <v>0</v>
      </c>
      <c r="P65" s="374">
        <f t="shared" si="51"/>
        <v>0</v>
      </c>
      <c r="Q65" s="320">
        <f t="shared" si="50"/>
        <v>0</v>
      </c>
    </row>
    <row r="66" spans="2:17">
      <c r="B66" s="556" t="s">
        <v>157</v>
      </c>
      <c r="C66" s="562" t="s">
        <v>27</v>
      </c>
      <c r="D66" s="144">
        <f>D67+D68</f>
        <v>13.20041</v>
      </c>
      <c r="E66" s="145">
        <f t="shared" si="41"/>
        <v>4.5659571369909999</v>
      </c>
      <c r="F66" s="146">
        <f>F67+F68</f>
        <v>0.312472185274</v>
      </c>
      <c r="G66" s="147">
        <f>G67+G68</f>
        <v>0.29686270044899998</v>
      </c>
      <c r="H66" s="480">
        <f>H67+H68</f>
        <v>3.9566222512679996</v>
      </c>
      <c r="I66" s="145">
        <f t="shared" si="42"/>
        <v>8.6081325655100009</v>
      </c>
      <c r="J66" s="146">
        <f t="shared" ref="J66:Q66" si="52">J67+J68</f>
        <v>6.5596163793319997</v>
      </c>
      <c r="K66" s="147">
        <f t="shared" si="52"/>
        <v>1.871511888488</v>
      </c>
      <c r="L66" s="480">
        <f t="shared" si="52"/>
        <v>0.17700429769000001</v>
      </c>
      <c r="M66" s="145">
        <f t="shared" si="52"/>
        <v>1.112794563E-3</v>
      </c>
      <c r="N66" s="149">
        <f t="shared" si="44"/>
        <v>2.4259713497999998E-2</v>
      </c>
      <c r="O66" s="147">
        <f t="shared" si="52"/>
        <v>2.4259713497999998E-2</v>
      </c>
      <c r="P66" s="148">
        <f t="shared" si="52"/>
        <v>0</v>
      </c>
      <c r="Q66" s="145">
        <f t="shared" si="52"/>
        <v>9.4778943799999997E-4</v>
      </c>
    </row>
    <row r="67" spans="2:17" ht="51.75">
      <c r="B67" s="558" t="s">
        <v>408</v>
      </c>
      <c r="C67" s="563" t="s">
        <v>29</v>
      </c>
      <c r="D67" s="324">
        <v>13.20041</v>
      </c>
      <c r="E67" s="320">
        <f t="shared" si="41"/>
        <v>4.5659571369909999</v>
      </c>
      <c r="F67" s="372">
        <f t="shared" ref="F67:H68" si="53">IFERROR($D67*F87/100, 0)</f>
        <v>0.312472185274</v>
      </c>
      <c r="G67" s="373">
        <f t="shared" si="53"/>
        <v>0.29686270044899998</v>
      </c>
      <c r="H67" s="618">
        <f t="shared" si="53"/>
        <v>3.9566222512679996</v>
      </c>
      <c r="I67" s="320">
        <f t="shared" si="42"/>
        <v>8.6081325655100009</v>
      </c>
      <c r="J67" s="372">
        <f t="shared" ref="J67:Q68" si="54">IFERROR($D67*J87/100, 0)</f>
        <v>6.5596163793319997</v>
      </c>
      <c r="K67" s="373">
        <f t="shared" si="54"/>
        <v>1.871511888488</v>
      </c>
      <c r="L67" s="618">
        <f t="shared" si="54"/>
        <v>0.17700429769000001</v>
      </c>
      <c r="M67" s="320">
        <f t="shared" si="54"/>
        <v>1.112794563E-3</v>
      </c>
      <c r="N67" s="619">
        <f t="shared" si="44"/>
        <v>2.4259713497999998E-2</v>
      </c>
      <c r="O67" s="373">
        <f t="shared" si="54"/>
        <v>2.4259713497999998E-2</v>
      </c>
      <c r="P67" s="374">
        <f t="shared" si="54"/>
        <v>0</v>
      </c>
      <c r="Q67" s="320">
        <f t="shared" si="54"/>
        <v>9.4778943799999997E-4</v>
      </c>
    </row>
    <row r="68" spans="2:17">
      <c r="B68" s="558" t="s">
        <v>610</v>
      </c>
      <c r="C68" s="563" t="s">
        <v>31</v>
      </c>
      <c r="D68" s="324">
        <v>0</v>
      </c>
      <c r="E68" s="320">
        <f t="shared" si="41"/>
        <v>0</v>
      </c>
      <c r="F68" s="372">
        <f t="shared" si="53"/>
        <v>0</v>
      </c>
      <c r="G68" s="373">
        <f t="shared" si="53"/>
        <v>0</v>
      </c>
      <c r="H68" s="618">
        <f t="shared" si="53"/>
        <v>0</v>
      </c>
      <c r="I68" s="320">
        <f t="shared" si="42"/>
        <v>0</v>
      </c>
      <c r="J68" s="372">
        <f t="shared" si="54"/>
        <v>0</v>
      </c>
      <c r="K68" s="373">
        <f t="shared" si="54"/>
        <v>0</v>
      </c>
      <c r="L68" s="618">
        <f t="shared" si="54"/>
        <v>0</v>
      </c>
      <c r="M68" s="320">
        <f t="shared" si="54"/>
        <v>0</v>
      </c>
      <c r="N68" s="619">
        <f t="shared" si="44"/>
        <v>0</v>
      </c>
      <c r="O68" s="373">
        <f t="shared" si="54"/>
        <v>0</v>
      </c>
      <c r="P68" s="374">
        <f t="shared" si="54"/>
        <v>0</v>
      </c>
      <c r="Q68" s="320">
        <f t="shared" si="54"/>
        <v>0</v>
      </c>
    </row>
    <row r="69" spans="2:17">
      <c r="B69" s="556" t="s">
        <v>409</v>
      </c>
      <c r="C69" s="562" t="s">
        <v>33</v>
      </c>
      <c r="D69" s="144">
        <f>D70+D71</f>
        <v>0.87821000000000005</v>
      </c>
      <c r="E69" s="145">
        <f t="shared" si="41"/>
        <v>0.30376853577100005</v>
      </c>
      <c r="F69" s="146">
        <f>F70+F71</f>
        <v>2.0788460194000002E-2</v>
      </c>
      <c r="G69" s="147">
        <f>G70+G71</f>
        <v>1.9749976868999999E-2</v>
      </c>
      <c r="H69" s="480">
        <f>H70+H71</f>
        <v>0.26323009870800002</v>
      </c>
      <c r="I69" s="145">
        <f t="shared" si="42"/>
        <v>0.57269040131000004</v>
      </c>
      <c r="J69" s="146">
        <f t="shared" ref="J69:Q69" si="55">J70+J71</f>
        <v>0.43640467989200005</v>
      </c>
      <c r="K69" s="147">
        <f t="shared" si="55"/>
        <v>0.12450980352800001</v>
      </c>
      <c r="L69" s="480">
        <f t="shared" si="55"/>
        <v>1.1775917890000001E-2</v>
      </c>
      <c r="M69" s="145">
        <f t="shared" si="55"/>
        <v>7.4033103000000009E-5</v>
      </c>
      <c r="N69" s="149">
        <f t="shared" si="44"/>
        <v>1.6139743380000002E-3</v>
      </c>
      <c r="O69" s="147">
        <f t="shared" si="55"/>
        <v>1.6139743380000002E-3</v>
      </c>
      <c r="P69" s="148">
        <f t="shared" si="55"/>
        <v>0</v>
      </c>
      <c r="Q69" s="145">
        <f t="shared" si="55"/>
        <v>6.3055477999999999E-5</v>
      </c>
    </row>
    <row r="70" spans="2:17">
      <c r="B70" s="558" t="s">
        <v>410</v>
      </c>
      <c r="C70" s="563" t="s">
        <v>595</v>
      </c>
      <c r="D70" s="324">
        <v>0</v>
      </c>
      <c r="E70" s="320">
        <f t="shared" si="41"/>
        <v>0</v>
      </c>
      <c r="F70" s="372">
        <f t="shared" ref="F70:H71" si="56">IFERROR($D70*F89/100, 0)</f>
        <v>0</v>
      </c>
      <c r="G70" s="373">
        <f t="shared" si="56"/>
        <v>0</v>
      </c>
      <c r="H70" s="618">
        <f t="shared" si="56"/>
        <v>0</v>
      </c>
      <c r="I70" s="320">
        <f t="shared" si="42"/>
        <v>0</v>
      </c>
      <c r="J70" s="372">
        <f t="shared" ref="J70:Q71" si="57">IFERROR($D70*J89/100, 0)</f>
        <v>0</v>
      </c>
      <c r="K70" s="373">
        <f t="shared" si="57"/>
        <v>0</v>
      </c>
      <c r="L70" s="618">
        <f t="shared" si="57"/>
        <v>0</v>
      </c>
      <c r="M70" s="320">
        <f t="shared" si="57"/>
        <v>0</v>
      </c>
      <c r="N70" s="619">
        <f t="shared" si="44"/>
        <v>0</v>
      </c>
      <c r="O70" s="373">
        <f t="shared" ref="O70:P71" si="58">IFERROR($D70*O89/100, 0)</f>
        <v>0</v>
      </c>
      <c r="P70" s="374">
        <f t="shared" si="58"/>
        <v>0</v>
      </c>
      <c r="Q70" s="320">
        <f t="shared" si="57"/>
        <v>0</v>
      </c>
    </row>
    <row r="71" spans="2:17" ht="26.25">
      <c r="B71" s="558" t="s">
        <v>411</v>
      </c>
      <c r="C71" s="599" t="s">
        <v>597</v>
      </c>
      <c r="D71" s="324">
        <v>0.87821000000000005</v>
      </c>
      <c r="E71" s="320">
        <f t="shared" si="41"/>
        <v>0.30376853577100005</v>
      </c>
      <c r="F71" s="372">
        <f t="shared" si="56"/>
        <v>2.0788460194000002E-2</v>
      </c>
      <c r="G71" s="373">
        <f t="shared" si="56"/>
        <v>1.9749976868999999E-2</v>
      </c>
      <c r="H71" s="618">
        <f t="shared" si="56"/>
        <v>0.26323009870800002</v>
      </c>
      <c r="I71" s="320">
        <f t="shared" si="42"/>
        <v>0.57269040131000004</v>
      </c>
      <c r="J71" s="372">
        <f t="shared" si="57"/>
        <v>0.43640467989200005</v>
      </c>
      <c r="K71" s="373">
        <f t="shared" si="57"/>
        <v>0.12450980352800001</v>
      </c>
      <c r="L71" s="618">
        <f t="shared" si="57"/>
        <v>1.1775917890000001E-2</v>
      </c>
      <c r="M71" s="320">
        <f t="shared" si="57"/>
        <v>7.4033103000000009E-5</v>
      </c>
      <c r="N71" s="619">
        <f t="shared" si="44"/>
        <v>1.6139743380000002E-3</v>
      </c>
      <c r="O71" s="373">
        <f t="shared" si="58"/>
        <v>1.6139743380000002E-3</v>
      </c>
      <c r="P71" s="374">
        <f t="shared" si="58"/>
        <v>0</v>
      </c>
      <c r="Q71" s="320">
        <f t="shared" si="57"/>
        <v>6.3055477999999999E-5</v>
      </c>
    </row>
    <row r="72" spans="2:17">
      <c r="B72" s="556" t="s">
        <v>415</v>
      </c>
      <c r="C72" s="568" t="s">
        <v>39</v>
      </c>
      <c r="D72" s="346">
        <f>D73+D74</f>
        <v>24.167730000000002</v>
      </c>
      <c r="E72" s="569">
        <f t="shared" si="41"/>
        <v>8.3594993851229997</v>
      </c>
      <c r="F72" s="570">
        <f>F73+F74</f>
        <v>0.57208400392200009</v>
      </c>
      <c r="G72" s="571">
        <f>G73+G74</f>
        <v>0.543505663197</v>
      </c>
      <c r="H72" s="572">
        <f>H73+H74</f>
        <v>7.2439097180039997</v>
      </c>
      <c r="I72" s="569">
        <f t="shared" si="42"/>
        <v>15.760042578030005</v>
      </c>
      <c r="J72" s="570">
        <f t="shared" ref="J72:Q72" si="59">J73+J74</f>
        <v>12.009554063796003</v>
      </c>
      <c r="K72" s="571">
        <f t="shared" si="59"/>
        <v>3.4264234226640005</v>
      </c>
      <c r="L72" s="572">
        <f t="shared" si="59"/>
        <v>0.32406509157000002</v>
      </c>
      <c r="M72" s="569">
        <f t="shared" si="59"/>
        <v>2.037339639E-3</v>
      </c>
      <c r="N72" s="573">
        <f t="shared" si="44"/>
        <v>4.4415454194000004E-2</v>
      </c>
      <c r="O72" s="571">
        <f t="shared" si="59"/>
        <v>4.4415454194000004E-2</v>
      </c>
      <c r="P72" s="600">
        <f t="shared" si="59"/>
        <v>0</v>
      </c>
      <c r="Q72" s="569">
        <f t="shared" si="59"/>
        <v>1.7352430140000002E-3</v>
      </c>
    </row>
    <row r="73" spans="2:17">
      <c r="B73" s="574" t="s">
        <v>611</v>
      </c>
      <c r="C73" s="575" t="s">
        <v>41</v>
      </c>
      <c r="D73" s="334">
        <v>5.3</v>
      </c>
      <c r="E73" s="320">
        <f t="shared" si="41"/>
        <v>1.8332440300000001</v>
      </c>
      <c r="F73" s="372">
        <f t="shared" ref="F73:H74" si="60">IFERROR($D73*F91/100, 0)</f>
        <v>0.12545842000000001</v>
      </c>
      <c r="G73" s="373">
        <f t="shared" si="60"/>
        <v>0.11919116999999999</v>
      </c>
      <c r="H73" s="618">
        <f t="shared" si="60"/>
        <v>1.5885944400000001</v>
      </c>
      <c r="I73" s="320">
        <f t="shared" si="42"/>
        <v>3.4561883000000004</v>
      </c>
      <c r="J73" s="372">
        <f t="shared" ref="J73:Q74" si="61">IFERROR($D73*J91/100, 0)</f>
        <v>2.6337035600000003</v>
      </c>
      <c r="K73" s="373">
        <f t="shared" si="61"/>
        <v>0.75141704000000009</v>
      </c>
      <c r="L73" s="618">
        <f t="shared" si="61"/>
        <v>7.1067699999999998E-2</v>
      </c>
      <c r="M73" s="320">
        <f t="shared" si="61"/>
        <v>4.4678999999999997E-4</v>
      </c>
      <c r="N73" s="619">
        <f t="shared" si="44"/>
        <v>9.7403400000000001E-3</v>
      </c>
      <c r="O73" s="373">
        <f t="shared" ref="O73:P74" si="62">IFERROR($D73*O91/100, 0)</f>
        <v>9.7403400000000001E-3</v>
      </c>
      <c r="P73" s="374">
        <f t="shared" si="62"/>
        <v>0</v>
      </c>
      <c r="Q73" s="320">
        <f t="shared" si="61"/>
        <v>3.8053999999999996E-4</v>
      </c>
    </row>
    <row r="74" spans="2:17" ht="26.25">
      <c r="B74" s="574" t="s">
        <v>612</v>
      </c>
      <c r="C74" s="579" t="s">
        <v>43</v>
      </c>
      <c r="D74" s="254">
        <v>18.867730000000002</v>
      </c>
      <c r="E74" s="320">
        <f t="shared" si="41"/>
        <v>6.5262553551230003</v>
      </c>
      <c r="F74" s="372">
        <f t="shared" si="60"/>
        <v>0.44662558392200002</v>
      </c>
      <c r="G74" s="373">
        <f t="shared" si="60"/>
        <v>0.42431449319699999</v>
      </c>
      <c r="H74" s="618">
        <f t="shared" si="60"/>
        <v>5.6553152780040001</v>
      </c>
      <c r="I74" s="320">
        <f t="shared" si="42"/>
        <v>12.303854278030002</v>
      </c>
      <c r="J74" s="372">
        <f t="shared" si="61"/>
        <v>9.375850503796002</v>
      </c>
      <c r="K74" s="373">
        <f t="shared" si="61"/>
        <v>2.6750063826640003</v>
      </c>
      <c r="L74" s="618">
        <f t="shared" si="61"/>
        <v>0.25299739157000001</v>
      </c>
      <c r="M74" s="320">
        <f t="shared" si="61"/>
        <v>1.5905496390000002E-3</v>
      </c>
      <c r="N74" s="619">
        <f t="shared" si="44"/>
        <v>3.4675114194000003E-2</v>
      </c>
      <c r="O74" s="373">
        <f t="shared" si="62"/>
        <v>3.4675114194000003E-2</v>
      </c>
      <c r="P74" s="374">
        <f t="shared" si="62"/>
        <v>0</v>
      </c>
      <c r="Q74" s="320">
        <f t="shared" si="61"/>
        <v>1.3547030140000002E-3</v>
      </c>
    </row>
    <row r="75" spans="2:17">
      <c r="B75" s="580" t="s">
        <v>416</v>
      </c>
      <c r="C75" s="581" t="s">
        <v>598</v>
      </c>
      <c r="D75" s="346">
        <f>SUM(D76:D78)</f>
        <v>2.2677700000000001</v>
      </c>
      <c r="E75" s="569">
        <f t="shared" si="41"/>
        <v>0.78441053092699997</v>
      </c>
      <c r="F75" s="346">
        <f t="shared" ref="F75:H75" si="63">SUM(F76:F78)</f>
        <v>5.3681290777999997E-2</v>
      </c>
      <c r="G75" s="561">
        <f t="shared" si="63"/>
        <v>5.0999652752999995E-2</v>
      </c>
      <c r="H75" s="561">
        <f t="shared" si="63"/>
        <v>0.67972958739599998</v>
      </c>
      <c r="I75" s="569">
        <f t="shared" si="42"/>
        <v>1.47883776247</v>
      </c>
      <c r="J75" s="346">
        <f t="shared" ref="J75:Q75" si="64">SUM(J76:J78)</f>
        <v>1.126912060804</v>
      </c>
      <c r="K75" s="561">
        <f t="shared" si="64"/>
        <v>0.32151717373600003</v>
      </c>
      <c r="L75" s="561">
        <f t="shared" si="64"/>
        <v>3.0408527929999998E-2</v>
      </c>
      <c r="M75" s="342">
        <f t="shared" si="64"/>
        <v>1.91173011E-4</v>
      </c>
      <c r="N75" s="573">
        <f t="shared" si="44"/>
        <v>4.1677077060000003E-3</v>
      </c>
      <c r="O75" s="561">
        <f t="shared" si="64"/>
        <v>4.1677077060000003E-3</v>
      </c>
      <c r="P75" s="345">
        <f t="shared" si="64"/>
        <v>0</v>
      </c>
      <c r="Q75" s="342">
        <f t="shared" si="64"/>
        <v>1.6282588599999997E-4</v>
      </c>
    </row>
    <row r="76" spans="2:17">
      <c r="B76" s="582" t="s">
        <v>417</v>
      </c>
      <c r="C76" s="583">
        <v>0</v>
      </c>
      <c r="D76" s="254">
        <v>0</v>
      </c>
      <c r="E76" s="320">
        <f t="shared" si="41"/>
        <v>0</v>
      </c>
      <c r="F76" s="372">
        <f t="shared" ref="F76:H78" si="65">IFERROR($D76*F93/100, 0)</f>
        <v>0</v>
      </c>
      <c r="G76" s="373">
        <f t="shared" si="65"/>
        <v>0</v>
      </c>
      <c r="H76" s="618">
        <f t="shared" si="65"/>
        <v>0</v>
      </c>
      <c r="I76" s="320">
        <f t="shared" si="42"/>
        <v>0</v>
      </c>
      <c r="J76" s="372">
        <f t="shared" ref="J76:Q78" si="66">IFERROR($D76*J93/100, 0)</f>
        <v>0</v>
      </c>
      <c r="K76" s="373">
        <f t="shared" si="66"/>
        <v>0</v>
      </c>
      <c r="L76" s="618">
        <f t="shared" si="66"/>
        <v>0</v>
      </c>
      <c r="M76" s="320">
        <f t="shared" si="66"/>
        <v>0</v>
      </c>
      <c r="N76" s="619">
        <f t="shared" si="44"/>
        <v>0</v>
      </c>
      <c r="O76" s="373">
        <f t="shared" ref="O76:P78" si="67">IFERROR($D76*O93/100, 0)</f>
        <v>0</v>
      </c>
      <c r="P76" s="374">
        <f t="shared" si="67"/>
        <v>0</v>
      </c>
      <c r="Q76" s="320">
        <f t="shared" si="66"/>
        <v>0</v>
      </c>
    </row>
    <row r="77" spans="2:17">
      <c r="B77" s="574" t="s">
        <v>418</v>
      </c>
      <c r="C77" s="583">
        <v>0</v>
      </c>
      <c r="D77" s="254">
        <v>0</v>
      </c>
      <c r="E77" s="320">
        <f t="shared" si="41"/>
        <v>0</v>
      </c>
      <c r="F77" s="372">
        <f t="shared" si="65"/>
        <v>0</v>
      </c>
      <c r="G77" s="373">
        <f t="shared" si="65"/>
        <v>0</v>
      </c>
      <c r="H77" s="618">
        <f t="shared" si="65"/>
        <v>0</v>
      </c>
      <c r="I77" s="320">
        <f t="shared" si="42"/>
        <v>0</v>
      </c>
      <c r="J77" s="372">
        <f t="shared" si="66"/>
        <v>0</v>
      </c>
      <c r="K77" s="373">
        <f t="shared" si="66"/>
        <v>0</v>
      </c>
      <c r="L77" s="618">
        <f t="shared" si="66"/>
        <v>0</v>
      </c>
      <c r="M77" s="320">
        <f t="shared" si="66"/>
        <v>0</v>
      </c>
      <c r="N77" s="619">
        <f t="shared" si="44"/>
        <v>0</v>
      </c>
      <c r="O77" s="373">
        <f t="shared" si="67"/>
        <v>0</v>
      </c>
      <c r="P77" s="374">
        <f t="shared" si="67"/>
        <v>0</v>
      </c>
      <c r="Q77" s="320">
        <f t="shared" si="66"/>
        <v>0</v>
      </c>
    </row>
    <row r="78" spans="2:17">
      <c r="B78" s="620" t="s">
        <v>419</v>
      </c>
      <c r="C78" s="585">
        <v>0</v>
      </c>
      <c r="D78" s="334">
        <v>2.2677700000000001</v>
      </c>
      <c r="E78" s="621">
        <f t="shared" si="41"/>
        <v>0.78441053092699997</v>
      </c>
      <c r="F78" s="622">
        <f t="shared" si="65"/>
        <v>5.3681290777999997E-2</v>
      </c>
      <c r="G78" s="623">
        <f t="shared" si="65"/>
        <v>5.0999652752999995E-2</v>
      </c>
      <c r="H78" s="624">
        <f t="shared" si="65"/>
        <v>0.67972958739599998</v>
      </c>
      <c r="I78" s="625">
        <f t="shared" si="42"/>
        <v>1.47883776247</v>
      </c>
      <c r="J78" s="622">
        <f t="shared" si="66"/>
        <v>1.126912060804</v>
      </c>
      <c r="K78" s="623">
        <f t="shared" si="66"/>
        <v>0.32151717373600003</v>
      </c>
      <c r="L78" s="624">
        <f t="shared" si="66"/>
        <v>3.0408527929999998E-2</v>
      </c>
      <c r="M78" s="625">
        <f t="shared" si="66"/>
        <v>1.91173011E-4</v>
      </c>
      <c r="N78" s="626">
        <f t="shared" si="44"/>
        <v>4.1677077060000003E-3</v>
      </c>
      <c r="O78" s="623">
        <f t="shared" si="67"/>
        <v>4.1677077060000003E-3</v>
      </c>
      <c r="P78" s="627">
        <f t="shared" si="67"/>
        <v>0</v>
      </c>
      <c r="Q78" s="625">
        <f t="shared" si="66"/>
        <v>1.6282588599999997E-4</v>
      </c>
    </row>
    <row r="79" spans="2:17" ht="66.75" customHeight="1" thickBot="1">
      <c r="B79" s="546" t="s">
        <v>63</v>
      </c>
      <c r="C79" s="32" t="s">
        <v>613</v>
      </c>
      <c r="D79" s="123" t="s">
        <v>249</v>
      </c>
      <c r="E79" s="124" t="s">
        <v>250</v>
      </c>
      <c r="F79" s="125" t="s">
        <v>251</v>
      </c>
      <c r="G79" s="126" t="s">
        <v>252</v>
      </c>
      <c r="H79" s="127" t="s">
        <v>253</v>
      </c>
      <c r="I79" s="124" t="s">
        <v>254</v>
      </c>
      <c r="J79" s="125" t="s">
        <v>255</v>
      </c>
      <c r="K79" s="126" t="s">
        <v>256</v>
      </c>
      <c r="L79" s="628" t="s">
        <v>257</v>
      </c>
      <c r="M79" s="124" t="s">
        <v>258</v>
      </c>
      <c r="N79" s="128" t="s">
        <v>259</v>
      </c>
      <c r="O79" s="130" t="s">
        <v>260</v>
      </c>
      <c r="P79" s="486" t="s">
        <v>261</v>
      </c>
      <c r="Q79" s="132" t="s">
        <v>262</v>
      </c>
    </row>
    <row r="80" spans="2:17">
      <c r="B80" s="387" t="s">
        <v>65</v>
      </c>
      <c r="C80" s="629" t="s">
        <v>614</v>
      </c>
      <c r="D80" s="630">
        <f t="shared" ref="D80:D95" si="68">E80+I80+M80+N80+Q80</f>
        <v>100.00000000000001</v>
      </c>
      <c r="E80" s="631">
        <f t="shared" ref="E80:E95" si="69">SUM(F80:H80)</f>
        <v>34.589509999999997</v>
      </c>
      <c r="F80" s="632">
        <v>2.36714</v>
      </c>
      <c r="G80" s="633">
        <v>2.2488899999999998</v>
      </c>
      <c r="H80" s="634">
        <v>29.973479999999999</v>
      </c>
      <c r="I80" s="631">
        <f t="shared" ref="I80:I95" si="70">SUM(J80:L80)</f>
        <v>65.211100000000002</v>
      </c>
      <c r="J80" s="632">
        <v>49.692520000000002</v>
      </c>
      <c r="K80" s="633">
        <v>14.177680000000001</v>
      </c>
      <c r="L80" s="634">
        <v>1.3409</v>
      </c>
      <c r="M80" s="635">
        <v>8.43E-3</v>
      </c>
      <c r="N80" s="636">
        <f>SUM(O80:P80)</f>
        <v>0.18378</v>
      </c>
      <c r="O80" s="633">
        <v>0.18378</v>
      </c>
      <c r="P80" s="637">
        <v>0</v>
      </c>
      <c r="Q80" s="635">
        <v>7.1799999999999998E-3</v>
      </c>
    </row>
    <row r="81" spans="2:18">
      <c r="B81" s="417" t="s">
        <v>69</v>
      </c>
      <c r="C81" s="638" t="s">
        <v>615</v>
      </c>
      <c r="D81" s="639">
        <f t="shared" si="68"/>
        <v>100.00000000000001</v>
      </c>
      <c r="E81" s="640">
        <f t="shared" si="69"/>
        <v>34.589509999999997</v>
      </c>
      <c r="F81" s="641">
        <v>2.36714</v>
      </c>
      <c r="G81" s="642">
        <v>2.2488899999999998</v>
      </c>
      <c r="H81" s="643">
        <v>29.973479999999999</v>
      </c>
      <c r="I81" s="640">
        <f t="shared" si="70"/>
        <v>65.211100000000002</v>
      </c>
      <c r="J81" s="641">
        <v>49.692520000000002</v>
      </c>
      <c r="K81" s="642">
        <v>14.177680000000001</v>
      </c>
      <c r="L81" s="643">
        <v>1.3409</v>
      </c>
      <c r="M81" s="644">
        <v>8.43E-3</v>
      </c>
      <c r="N81" s="636">
        <f t="shared" ref="N81:N95" si="71">SUM(O81:P81)</f>
        <v>0.18378</v>
      </c>
      <c r="O81" s="642">
        <v>0.18378</v>
      </c>
      <c r="P81" s="645">
        <v>0</v>
      </c>
      <c r="Q81" s="644">
        <v>7.1799999999999998E-3</v>
      </c>
    </row>
    <row r="82" spans="2:18">
      <c r="B82" s="417" t="s">
        <v>71</v>
      </c>
      <c r="C82" s="638" t="s">
        <v>616</v>
      </c>
      <c r="D82" s="639">
        <f t="shared" si="68"/>
        <v>100.00000000000001</v>
      </c>
      <c r="E82" s="640">
        <f t="shared" si="69"/>
        <v>34.589509999999997</v>
      </c>
      <c r="F82" s="641">
        <v>2.36714</v>
      </c>
      <c r="G82" s="642">
        <v>2.2488899999999998</v>
      </c>
      <c r="H82" s="643">
        <v>29.973479999999999</v>
      </c>
      <c r="I82" s="640">
        <f t="shared" si="70"/>
        <v>65.211100000000002</v>
      </c>
      <c r="J82" s="641">
        <v>49.692520000000002</v>
      </c>
      <c r="K82" s="642">
        <v>14.177680000000001</v>
      </c>
      <c r="L82" s="643">
        <v>1.3409</v>
      </c>
      <c r="M82" s="644">
        <v>8.43E-3</v>
      </c>
      <c r="N82" s="636">
        <f t="shared" si="71"/>
        <v>0.18378</v>
      </c>
      <c r="O82" s="642">
        <v>0.18378</v>
      </c>
      <c r="P82" s="645">
        <v>0</v>
      </c>
      <c r="Q82" s="644">
        <v>7.1799999999999998E-3</v>
      </c>
    </row>
    <row r="83" spans="2:18">
      <c r="B83" s="421" t="s">
        <v>73</v>
      </c>
      <c r="C83" s="638" t="s">
        <v>617</v>
      </c>
      <c r="D83" s="639">
        <f t="shared" si="68"/>
        <v>100.00000000000001</v>
      </c>
      <c r="E83" s="640">
        <f t="shared" si="69"/>
        <v>34.589509999999997</v>
      </c>
      <c r="F83" s="641">
        <v>2.36714</v>
      </c>
      <c r="G83" s="642">
        <v>2.2488899999999998</v>
      </c>
      <c r="H83" s="643">
        <v>29.973479999999999</v>
      </c>
      <c r="I83" s="640">
        <f t="shared" si="70"/>
        <v>65.211100000000002</v>
      </c>
      <c r="J83" s="641">
        <v>49.692520000000002</v>
      </c>
      <c r="K83" s="642">
        <v>14.177680000000001</v>
      </c>
      <c r="L83" s="643">
        <v>1.3409</v>
      </c>
      <c r="M83" s="644">
        <v>8.43E-3</v>
      </c>
      <c r="N83" s="636">
        <f t="shared" si="71"/>
        <v>0.18378</v>
      </c>
      <c r="O83" s="642">
        <v>0.18378</v>
      </c>
      <c r="P83" s="645">
        <v>0</v>
      </c>
      <c r="Q83" s="644">
        <v>7.1799999999999998E-3</v>
      </c>
    </row>
    <row r="84" spans="2:18">
      <c r="B84" s="417" t="s">
        <v>75</v>
      </c>
      <c r="C84" s="638" t="s">
        <v>618</v>
      </c>
      <c r="D84" s="639">
        <f t="shared" si="68"/>
        <v>100.00000000000001</v>
      </c>
      <c r="E84" s="640">
        <f t="shared" si="69"/>
        <v>34.589509999999997</v>
      </c>
      <c r="F84" s="641">
        <v>2.36714</v>
      </c>
      <c r="G84" s="642">
        <v>2.2488899999999998</v>
      </c>
      <c r="H84" s="643">
        <v>29.973479999999999</v>
      </c>
      <c r="I84" s="640">
        <f t="shared" si="70"/>
        <v>65.211100000000002</v>
      </c>
      <c r="J84" s="641">
        <v>49.692520000000002</v>
      </c>
      <c r="K84" s="642">
        <v>14.177680000000001</v>
      </c>
      <c r="L84" s="643">
        <v>1.3409</v>
      </c>
      <c r="M84" s="644">
        <v>8.43E-3</v>
      </c>
      <c r="N84" s="636">
        <f t="shared" si="71"/>
        <v>0.18378</v>
      </c>
      <c r="O84" s="642">
        <v>0.18378</v>
      </c>
      <c r="P84" s="645">
        <v>0</v>
      </c>
      <c r="Q84" s="644">
        <v>7.1799999999999998E-3</v>
      </c>
    </row>
    <row r="85" spans="2:18">
      <c r="B85" s="417" t="s">
        <v>460</v>
      </c>
      <c r="C85" s="638" t="s">
        <v>619</v>
      </c>
      <c r="D85" s="639">
        <f t="shared" si="68"/>
        <v>100.00000000000001</v>
      </c>
      <c r="E85" s="640">
        <f t="shared" si="69"/>
        <v>34.589509999999997</v>
      </c>
      <c r="F85" s="641">
        <v>2.36714</v>
      </c>
      <c r="G85" s="642">
        <v>2.2488899999999998</v>
      </c>
      <c r="H85" s="643">
        <v>29.973479999999999</v>
      </c>
      <c r="I85" s="640">
        <f t="shared" si="70"/>
        <v>65.211100000000002</v>
      </c>
      <c r="J85" s="641">
        <v>49.692520000000002</v>
      </c>
      <c r="K85" s="642">
        <v>14.177680000000001</v>
      </c>
      <c r="L85" s="643">
        <v>1.3409</v>
      </c>
      <c r="M85" s="644">
        <v>8.43E-3</v>
      </c>
      <c r="N85" s="636">
        <f t="shared" si="71"/>
        <v>0.18378</v>
      </c>
      <c r="O85" s="642">
        <v>0.18378</v>
      </c>
      <c r="P85" s="645">
        <v>0</v>
      </c>
      <c r="Q85" s="644">
        <v>7.1799999999999998E-3</v>
      </c>
    </row>
    <row r="86" spans="2:18">
      <c r="B86" s="417" t="s">
        <v>464</v>
      </c>
      <c r="C86" s="638" t="s">
        <v>620</v>
      </c>
      <c r="D86" s="639">
        <f t="shared" si="68"/>
        <v>100.00000000000001</v>
      </c>
      <c r="E86" s="640">
        <f t="shared" si="69"/>
        <v>34.589509999999997</v>
      </c>
      <c r="F86" s="641">
        <v>2.36714</v>
      </c>
      <c r="G86" s="642">
        <v>2.2488899999999998</v>
      </c>
      <c r="H86" s="643">
        <v>29.973479999999999</v>
      </c>
      <c r="I86" s="640">
        <f t="shared" si="70"/>
        <v>65.211100000000002</v>
      </c>
      <c r="J86" s="641">
        <v>49.692520000000002</v>
      </c>
      <c r="K86" s="642">
        <v>14.177680000000001</v>
      </c>
      <c r="L86" s="643">
        <v>1.3409</v>
      </c>
      <c r="M86" s="644">
        <v>8.43E-3</v>
      </c>
      <c r="N86" s="636">
        <f t="shared" si="71"/>
        <v>0.18378</v>
      </c>
      <c r="O86" s="642">
        <v>0.18378</v>
      </c>
      <c r="P86" s="645">
        <v>0</v>
      </c>
      <c r="Q86" s="644">
        <v>7.1799999999999998E-3</v>
      </c>
    </row>
    <row r="87" spans="2:18">
      <c r="B87" s="421" t="s">
        <v>468</v>
      </c>
      <c r="C87" s="638" t="s">
        <v>621</v>
      </c>
      <c r="D87" s="639">
        <f t="shared" si="68"/>
        <v>100.00000000000001</v>
      </c>
      <c r="E87" s="640">
        <f t="shared" si="69"/>
        <v>34.589509999999997</v>
      </c>
      <c r="F87" s="641">
        <v>2.36714</v>
      </c>
      <c r="G87" s="642">
        <v>2.2488899999999998</v>
      </c>
      <c r="H87" s="643">
        <v>29.973479999999999</v>
      </c>
      <c r="I87" s="640">
        <f t="shared" si="70"/>
        <v>65.211100000000002</v>
      </c>
      <c r="J87" s="641">
        <v>49.692520000000002</v>
      </c>
      <c r="K87" s="642">
        <v>14.177680000000001</v>
      </c>
      <c r="L87" s="643">
        <v>1.3409</v>
      </c>
      <c r="M87" s="644">
        <v>8.43E-3</v>
      </c>
      <c r="N87" s="636">
        <f t="shared" si="71"/>
        <v>0.18378</v>
      </c>
      <c r="O87" s="642">
        <v>0.18378</v>
      </c>
      <c r="P87" s="645">
        <v>0</v>
      </c>
      <c r="Q87" s="644">
        <v>7.1799999999999998E-3</v>
      </c>
    </row>
    <row r="88" spans="2:18">
      <c r="B88" s="421" t="s">
        <v>472</v>
      </c>
      <c r="C88" s="638" t="s">
        <v>622</v>
      </c>
      <c r="D88" s="639">
        <f t="shared" si="68"/>
        <v>100.00000000000001</v>
      </c>
      <c r="E88" s="640">
        <f t="shared" si="69"/>
        <v>34.589509999999997</v>
      </c>
      <c r="F88" s="641">
        <v>2.36714</v>
      </c>
      <c r="G88" s="642">
        <v>2.2488899999999998</v>
      </c>
      <c r="H88" s="643">
        <v>29.973479999999999</v>
      </c>
      <c r="I88" s="640">
        <f t="shared" si="70"/>
        <v>65.211100000000002</v>
      </c>
      <c r="J88" s="641">
        <v>49.692520000000002</v>
      </c>
      <c r="K88" s="642">
        <v>14.177680000000001</v>
      </c>
      <c r="L88" s="643">
        <v>1.3409</v>
      </c>
      <c r="M88" s="644">
        <v>8.43E-3</v>
      </c>
      <c r="N88" s="636">
        <f t="shared" si="71"/>
        <v>0.18378</v>
      </c>
      <c r="O88" s="642">
        <v>0.18378</v>
      </c>
      <c r="P88" s="645">
        <v>0</v>
      </c>
      <c r="Q88" s="644">
        <v>7.1799999999999998E-3</v>
      </c>
    </row>
    <row r="89" spans="2:18">
      <c r="B89" s="421" t="s">
        <v>488</v>
      </c>
      <c r="C89" s="638" t="s">
        <v>623</v>
      </c>
      <c r="D89" s="639">
        <f t="shared" si="68"/>
        <v>100.00000000000001</v>
      </c>
      <c r="E89" s="640">
        <f t="shared" si="69"/>
        <v>34.589509999999997</v>
      </c>
      <c r="F89" s="641">
        <v>2.36714</v>
      </c>
      <c r="G89" s="642">
        <v>2.2488899999999998</v>
      </c>
      <c r="H89" s="643">
        <v>29.973479999999999</v>
      </c>
      <c r="I89" s="640">
        <f t="shared" si="70"/>
        <v>65.211100000000002</v>
      </c>
      <c r="J89" s="641">
        <v>49.692520000000002</v>
      </c>
      <c r="K89" s="642">
        <v>14.177680000000001</v>
      </c>
      <c r="L89" s="643">
        <v>1.3409</v>
      </c>
      <c r="M89" s="644">
        <v>8.43E-3</v>
      </c>
      <c r="N89" s="636">
        <f t="shared" si="71"/>
        <v>0.18378</v>
      </c>
      <c r="O89" s="642">
        <v>0.18378</v>
      </c>
      <c r="P89" s="645">
        <v>0</v>
      </c>
      <c r="Q89" s="644">
        <v>7.1799999999999998E-3</v>
      </c>
    </row>
    <row r="90" spans="2:18">
      <c r="B90" s="421" t="s">
        <v>489</v>
      </c>
      <c r="C90" s="638" t="s">
        <v>624</v>
      </c>
      <c r="D90" s="639">
        <f t="shared" si="68"/>
        <v>100.00000000000001</v>
      </c>
      <c r="E90" s="640">
        <f t="shared" si="69"/>
        <v>34.589509999999997</v>
      </c>
      <c r="F90" s="641">
        <v>2.36714</v>
      </c>
      <c r="G90" s="642">
        <v>2.2488899999999998</v>
      </c>
      <c r="H90" s="643">
        <v>29.973479999999999</v>
      </c>
      <c r="I90" s="640">
        <f t="shared" si="70"/>
        <v>65.211100000000002</v>
      </c>
      <c r="J90" s="641">
        <v>49.692520000000002</v>
      </c>
      <c r="K90" s="642">
        <v>14.177680000000001</v>
      </c>
      <c r="L90" s="643">
        <v>1.3409</v>
      </c>
      <c r="M90" s="644">
        <v>8.43E-3</v>
      </c>
      <c r="N90" s="636">
        <f t="shared" si="71"/>
        <v>0.18378</v>
      </c>
      <c r="O90" s="642">
        <v>0.18378</v>
      </c>
      <c r="P90" s="645">
        <v>0</v>
      </c>
      <c r="Q90" s="644">
        <v>7.1799999999999998E-3</v>
      </c>
    </row>
    <row r="91" spans="2:18">
      <c r="B91" s="421" t="s">
        <v>625</v>
      </c>
      <c r="C91" s="638" t="s">
        <v>626</v>
      </c>
      <c r="D91" s="639">
        <f t="shared" si="68"/>
        <v>100.00000000000001</v>
      </c>
      <c r="E91" s="640">
        <f t="shared" si="69"/>
        <v>34.589509999999997</v>
      </c>
      <c r="F91" s="641">
        <v>2.36714</v>
      </c>
      <c r="G91" s="642">
        <v>2.2488899999999998</v>
      </c>
      <c r="H91" s="643">
        <v>29.973479999999999</v>
      </c>
      <c r="I91" s="640">
        <f t="shared" si="70"/>
        <v>65.211100000000002</v>
      </c>
      <c r="J91" s="641">
        <v>49.692520000000002</v>
      </c>
      <c r="K91" s="642">
        <v>14.177680000000001</v>
      </c>
      <c r="L91" s="643">
        <v>1.3409</v>
      </c>
      <c r="M91" s="644">
        <v>8.43E-3</v>
      </c>
      <c r="N91" s="636">
        <f t="shared" si="71"/>
        <v>0.18378</v>
      </c>
      <c r="O91" s="642">
        <v>0.18378</v>
      </c>
      <c r="P91" s="645">
        <v>0</v>
      </c>
      <c r="Q91" s="644">
        <v>7.1799999999999998E-3</v>
      </c>
    </row>
    <row r="92" spans="2:18">
      <c r="B92" s="421" t="s">
        <v>627</v>
      </c>
      <c r="C92" s="638" t="s">
        <v>628</v>
      </c>
      <c r="D92" s="639">
        <f t="shared" si="68"/>
        <v>100.00000000000001</v>
      </c>
      <c r="E92" s="640">
        <f t="shared" si="69"/>
        <v>34.589509999999997</v>
      </c>
      <c r="F92" s="641">
        <v>2.36714</v>
      </c>
      <c r="G92" s="642">
        <v>2.2488899999999998</v>
      </c>
      <c r="H92" s="643">
        <v>29.973479999999999</v>
      </c>
      <c r="I92" s="640">
        <f t="shared" si="70"/>
        <v>65.211100000000002</v>
      </c>
      <c r="J92" s="641">
        <v>49.692520000000002</v>
      </c>
      <c r="K92" s="642">
        <v>14.177680000000001</v>
      </c>
      <c r="L92" s="643">
        <v>1.3409</v>
      </c>
      <c r="M92" s="644">
        <v>8.43E-3</v>
      </c>
      <c r="N92" s="636">
        <f t="shared" si="71"/>
        <v>0.18378</v>
      </c>
      <c r="O92" s="642">
        <v>0.18378</v>
      </c>
      <c r="P92" s="645">
        <v>0</v>
      </c>
      <c r="Q92" s="644">
        <v>7.1799999999999998E-3</v>
      </c>
    </row>
    <row r="93" spans="2:18">
      <c r="B93" s="417" t="s">
        <v>629</v>
      </c>
      <c r="C93" s="638" t="s">
        <v>630</v>
      </c>
      <c r="D93" s="639">
        <f t="shared" si="68"/>
        <v>100.00000000000001</v>
      </c>
      <c r="E93" s="640">
        <f t="shared" si="69"/>
        <v>34.589509999999997</v>
      </c>
      <c r="F93" s="641">
        <v>2.36714</v>
      </c>
      <c r="G93" s="642">
        <v>2.2488899999999998</v>
      </c>
      <c r="H93" s="643">
        <v>29.973479999999999</v>
      </c>
      <c r="I93" s="640">
        <f t="shared" si="70"/>
        <v>65.211100000000002</v>
      </c>
      <c r="J93" s="641">
        <v>49.692520000000002</v>
      </c>
      <c r="K93" s="642">
        <v>14.177680000000001</v>
      </c>
      <c r="L93" s="643">
        <v>1.3409</v>
      </c>
      <c r="M93" s="644">
        <v>8.43E-3</v>
      </c>
      <c r="N93" s="636">
        <f t="shared" si="71"/>
        <v>0.18378</v>
      </c>
      <c r="O93" s="642">
        <v>0.18378</v>
      </c>
      <c r="P93" s="645">
        <v>0</v>
      </c>
      <c r="Q93" s="644">
        <v>7.1799999999999998E-3</v>
      </c>
    </row>
    <row r="94" spans="2:18">
      <c r="B94" s="421" t="s">
        <v>631</v>
      </c>
      <c r="C94" s="646" t="s">
        <v>632</v>
      </c>
      <c r="D94" s="647">
        <f t="shared" si="68"/>
        <v>100.00000000000001</v>
      </c>
      <c r="E94" s="648">
        <f t="shared" si="69"/>
        <v>34.589509999999997</v>
      </c>
      <c r="F94" s="649">
        <v>2.36714</v>
      </c>
      <c r="G94" s="650">
        <v>2.2488899999999998</v>
      </c>
      <c r="H94" s="651">
        <v>29.973479999999999</v>
      </c>
      <c r="I94" s="648">
        <f t="shared" si="70"/>
        <v>65.211100000000002</v>
      </c>
      <c r="J94" s="649">
        <v>49.692520000000002</v>
      </c>
      <c r="K94" s="650">
        <v>14.177680000000001</v>
      </c>
      <c r="L94" s="651">
        <v>1.3409</v>
      </c>
      <c r="M94" s="652">
        <v>8.43E-3</v>
      </c>
      <c r="N94" s="636">
        <f t="shared" si="71"/>
        <v>0.18378</v>
      </c>
      <c r="O94" s="650">
        <v>0.18378</v>
      </c>
      <c r="P94" s="653">
        <v>0</v>
      </c>
      <c r="Q94" s="652">
        <v>7.1799999999999998E-3</v>
      </c>
    </row>
    <row r="95" spans="2:18">
      <c r="B95" s="654" t="s">
        <v>633</v>
      </c>
      <c r="C95" s="655" t="s">
        <v>634</v>
      </c>
      <c r="D95" s="656">
        <f t="shared" si="68"/>
        <v>100.00000000000001</v>
      </c>
      <c r="E95" s="657">
        <f t="shared" si="69"/>
        <v>34.589509999999997</v>
      </c>
      <c r="F95" s="658">
        <v>2.36714</v>
      </c>
      <c r="G95" s="659">
        <v>2.2488899999999998</v>
      </c>
      <c r="H95" s="660">
        <v>29.973479999999999</v>
      </c>
      <c r="I95" s="657">
        <f t="shared" si="70"/>
        <v>65.211100000000002</v>
      </c>
      <c r="J95" s="658">
        <v>49.692520000000002</v>
      </c>
      <c r="K95" s="659">
        <v>14.177680000000001</v>
      </c>
      <c r="L95" s="660">
        <v>1.3409</v>
      </c>
      <c r="M95" s="661">
        <v>8.43E-3</v>
      </c>
      <c r="N95" s="636">
        <f t="shared" si="71"/>
        <v>0.18378</v>
      </c>
      <c r="O95" s="659">
        <v>0.18378</v>
      </c>
      <c r="P95" s="662">
        <v>0</v>
      </c>
      <c r="Q95" s="661">
        <v>7.1799999999999998E-3</v>
      </c>
    </row>
    <row r="96" spans="2:18">
      <c r="B96" s="549" t="s">
        <v>77</v>
      </c>
      <c r="C96" s="549" t="s">
        <v>635</v>
      </c>
      <c r="D96" s="663">
        <f t="shared" ref="D96:Q96" si="72">D97+D101+D106+D108+D111+D114</f>
        <v>32.292340000000003</v>
      </c>
      <c r="E96" s="664">
        <f t="shared" si="72"/>
        <v>8.1120475260539244</v>
      </c>
      <c r="F96" s="665">
        <f t="shared" si="72"/>
        <v>2.0126822769701147</v>
      </c>
      <c r="G96" s="666">
        <f t="shared" si="72"/>
        <v>0.65549032308475408</v>
      </c>
      <c r="H96" s="667">
        <f t="shared" si="72"/>
        <v>5.4438749259990562</v>
      </c>
      <c r="I96" s="664">
        <f t="shared" si="72"/>
        <v>24.144233086497906</v>
      </c>
      <c r="J96" s="665">
        <f t="shared" si="72"/>
        <v>12.049623082467235</v>
      </c>
      <c r="K96" s="666">
        <f t="shared" si="72"/>
        <v>11.260236909566828</v>
      </c>
      <c r="L96" s="667">
        <f t="shared" si="72"/>
        <v>0.83437309446383801</v>
      </c>
      <c r="M96" s="664">
        <f t="shared" si="72"/>
        <v>1.5245530677973904E-3</v>
      </c>
      <c r="N96" s="668">
        <f t="shared" si="72"/>
        <v>3.3236341969134567E-2</v>
      </c>
      <c r="O96" s="666">
        <f t="shared" si="72"/>
        <v>3.3236341969134567E-2</v>
      </c>
      <c r="P96" s="669">
        <f t="shared" si="72"/>
        <v>0</v>
      </c>
      <c r="Q96" s="664">
        <f t="shared" si="72"/>
        <v>1.2984924112438036E-3</v>
      </c>
      <c r="R96" s="617"/>
    </row>
    <row r="97" spans="2:17">
      <c r="B97" s="556" t="s">
        <v>491</v>
      </c>
      <c r="C97" s="557" t="s">
        <v>8</v>
      </c>
      <c r="D97" s="630">
        <f>SUM(D98:D100)</f>
        <v>13.468</v>
      </c>
      <c r="E97" s="670">
        <f t="shared" ref="E97:E117" si="73">SUM(F97:H97)</f>
        <v>4.6585152067999998</v>
      </c>
      <c r="F97" s="671">
        <f>SUM(F98:F100)</f>
        <v>0.31880641520000003</v>
      </c>
      <c r="G97" s="672">
        <f>SUM(G98:G100)</f>
        <v>0.30288050519999998</v>
      </c>
      <c r="H97" s="673">
        <f>SUM(H98:H100)</f>
        <v>4.0368282863999996</v>
      </c>
      <c r="I97" s="670">
        <f t="shared" ref="I97:I117" si="74">SUM(J97:L97)</f>
        <v>8.7826309479999995</v>
      </c>
      <c r="J97" s="671">
        <f t="shared" ref="J97:Q97" si="75">SUM(J98:J100)</f>
        <v>6.6925885936</v>
      </c>
      <c r="K97" s="672">
        <f t="shared" si="75"/>
        <v>1.9094499424</v>
      </c>
      <c r="L97" s="673">
        <f t="shared" si="75"/>
        <v>0.18059241199999998</v>
      </c>
      <c r="M97" s="670">
        <f t="shared" si="75"/>
        <v>1.1353524E-3</v>
      </c>
      <c r="N97" s="674">
        <f t="shared" ref="N97:N117" si="76">SUM(O97:P97)</f>
        <v>2.4751490399999999E-2</v>
      </c>
      <c r="O97" s="672">
        <f t="shared" si="75"/>
        <v>2.4751490399999999E-2</v>
      </c>
      <c r="P97" s="675">
        <f t="shared" si="75"/>
        <v>0</v>
      </c>
      <c r="Q97" s="670">
        <f t="shared" si="75"/>
        <v>9.6700239999999993E-4</v>
      </c>
    </row>
    <row r="98" spans="2:17">
      <c r="B98" s="558" t="s">
        <v>492</v>
      </c>
      <c r="C98" s="559" t="s">
        <v>10</v>
      </c>
      <c r="D98" s="676">
        <v>13.468</v>
      </c>
      <c r="E98" s="677">
        <f t="shared" si="73"/>
        <v>4.6585152067999998</v>
      </c>
      <c r="F98" s="678">
        <f t="shared" ref="F98:H100" si="77">IFERROR($D98*F119/100, 0)</f>
        <v>0.31880641520000003</v>
      </c>
      <c r="G98" s="679">
        <f t="shared" si="77"/>
        <v>0.30288050519999998</v>
      </c>
      <c r="H98" s="680">
        <f t="shared" si="77"/>
        <v>4.0368282863999996</v>
      </c>
      <c r="I98" s="677">
        <f t="shared" si="74"/>
        <v>8.7826309479999995</v>
      </c>
      <c r="J98" s="678">
        <f t="shared" ref="J98:Q100" si="78">IFERROR($D98*J119/100, 0)</f>
        <v>6.6925885936</v>
      </c>
      <c r="K98" s="679">
        <f t="shared" si="78"/>
        <v>1.9094499424</v>
      </c>
      <c r="L98" s="680">
        <f t="shared" si="78"/>
        <v>0.18059241199999998</v>
      </c>
      <c r="M98" s="677">
        <f t="shared" si="78"/>
        <v>1.1353524E-3</v>
      </c>
      <c r="N98" s="681">
        <f t="shared" si="76"/>
        <v>2.4751490399999999E-2</v>
      </c>
      <c r="O98" s="679">
        <f t="shared" ref="O98:P100" si="79">IFERROR($D98*O119/100, 0)</f>
        <v>2.4751490399999999E-2</v>
      </c>
      <c r="P98" s="682">
        <f t="shared" si="79"/>
        <v>0</v>
      </c>
      <c r="Q98" s="677">
        <f t="shared" si="78"/>
        <v>9.6700239999999993E-4</v>
      </c>
    </row>
    <row r="99" spans="2:17">
      <c r="B99" s="558" t="s">
        <v>636</v>
      </c>
      <c r="C99" s="559" t="s">
        <v>11</v>
      </c>
      <c r="D99" s="676">
        <v>0</v>
      </c>
      <c r="E99" s="677">
        <f t="shared" si="73"/>
        <v>0</v>
      </c>
      <c r="F99" s="678">
        <f t="shared" si="77"/>
        <v>0</v>
      </c>
      <c r="G99" s="679">
        <f t="shared" si="77"/>
        <v>0</v>
      </c>
      <c r="H99" s="680">
        <f t="shared" si="77"/>
        <v>0</v>
      </c>
      <c r="I99" s="677">
        <f t="shared" si="74"/>
        <v>0</v>
      </c>
      <c r="J99" s="678">
        <f t="shared" si="78"/>
        <v>0</v>
      </c>
      <c r="K99" s="679">
        <f t="shared" si="78"/>
        <v>0</v>
      </c>
      <c r="L99" s="680">
        <f t="shared" si="78"/>
        <v>0</v>
      </c>
      <c r="M99" s="677">
        <f t="shared" si="78"/>
        <v>0</v>
      </c>
      <c r="N99" s="681">
        <f t="shared" si="76"/>
        <v>0</v>
      </c>
      <c r="O99" s="679">
        <f t="shared" si="79"/>
        <v>0</v>
      </c>
      <c r="P99" s="682">
        <f t="shared" si="79"/>
        <v>0</v>
      </c>
      <c r="Q99" s="677">
        <f t="shared" si="78"/>
        <v>0</v>
      </c>
    </row>
    <row r="100" spans="2:17">
      <c r="B100" s="558" t="s">
        <v>637</v>
      </c>
      <c r="C100" s="559" t="s">
        <v>13</v>
      </c>
      <c r="D100" s="676">
        <v>0</v>
      </c>
      <c r="E100" s="677">
        <f t="shared" si="73"/>
        <v>0</v>
      </c>
      <c r="F100" s="678">
        <f t="shared" si="77"/>
        <v>0</v>
      </c>
      <c r="G100" s="679">
        <f t="shared" si="77"/>
        <v>0</v>
      </c>
      <c r="H100" s="680">
        <f t="shared" si="77"/>
        <v>0</v>
      </c>
      <c r="I100" s="677">
        <f t="shared" si="74"/>
        <v>0</v>
      </c>
      <c r="J100" s="678">
        <f t="shared" si="78"/>
        <v>0</v>
      </c>
      <c r="K100" s="679">
        <f t="shared" si="78"/>
        <v>0</v>
      </c>
      <c r="L100" s="680">
        <f t="shared" si="78"/>
        <v>0</v>
      </c>
      <c r="M100" s="677">
        <f t="shared" si="78"/>
        <v>0</v>
      </c>
      <c r="N100" s="681">
        <f t="shared" si="76"/>
        <v>0</v>
      </c>
      <c r="O100" s="679">
        <f t="shared" si="79"/>
        <v>0</v>
      </c>
      <c r="P100" s="682">
        <f t="shared" si="79"/>
        <v>0</v>
      </c>
      <c r="Q100" s="677">
        <f t="shared" si="78"/>
        <v>0</v>
      </c>
    </row>
    <row r="101" spans="2:17">
      <c r="B101" s="556" t="s">
        <v>167</v>
      </c>
      <c r="C101" s="560" t="s">
        <v>15</v>
      </c>
      <c r="D101" s="630">
        <f>SUM(D102:D105)</f>
        <v>14.174340000000001</v>
      </c>
      <c r="E101" s="670">
        <f t="shared" si="73"/>
        <v>2.1905925528286314</v>
      </c>
      <c r="F101" s="671">
        <f>SUM(F102:F105)</f>
        <v>1.6074463275357191</v>
      </c>
      <c r="G101" s="672">
        <f>SUM(G102:G105)</f>
        <v>0.27049785355463862</v>
      </c>
      <c r="H101" s="673">
        <f>SUM(H102:H105)</f>
        <v>0.31264837173827353</v>
      </c>
      <c r="I101" s="670">
        <f t="shared" si="74"/>
        <v>11.981822076282302</v>
      </c>
      <c r="J101" s="671">
        <f t="shared" ref="J101:Q101" si="80">SUM(J102:J105)</f>
        <v>3.5426503128010194</v>
      </c>
      <c r="K101" s="672">
        <f t="shared" si="80"/>
        <v>7.8343503155599299</v>
      </c>
      <c r="L101" s="673">
        <f t="shared" si="80"/>
        <v>0.60482144792135195</v>
      </c>
      <c r="M101" s="670">
        <f t="shared" si="80"/>
        <v>8.1402661090582346E-5</v>
      </c>
      <c r="N101" s="674">
        <f t="shared" si="76"/>
        <v>1.7746359496117717E-3</v>
      </c>
      <c r="O101" s="672">
        <f t="shared" si="80"/>
        <v>1.7746359496117717E-3</v>
      </c>
      <c r="P101" s="675">
        <f t="shared" si="80"/>
        <v>0</v>
      </c>
      <c r="Q101" s="670">
        <f t="shared" si="80"/>
        <v>6.9332278366593346E-5</v>
      </c>
    </row>
    <row r="102" spans="2:17">
      <c r="B102" s="558" t="s">
        <v>494</v>
      </c>
      <c r="C102" s="559" t="s">
        <v>17</v>
      </c>
      <c r="D102" s="676">
        <v>14.174340000000001</v>
      </c>
      <c r="E102" s="677">
        <f t="shared" si="73"/>
        <v>2.1905925528286314</v>
      </c>
      <c r="F102" s="678">
        <f t="shared" ref="F102:H105" si="81">IFERROR($D102*F122/100, 0)</f>
        <v>1.6074463275357191</v>
      </c>
      <c r="G102" s="679">
        <f t="shared" si="81"/>
        <v>0.27049785355463862</v>
      </c>
      <c r="H102" s="680">
        <f t="shared" si="81"/>
        <v>0.31264837173827353</v>
      </c>
      <c r="I102" s="677">
        <f t="shared" si="74"/>
        <v>11.981822076282302</v>
      </c>
      <c r="J102" s="678">
        <f t="shared" ref="J102:Q105" si="82">IFERROR($D102*J122/100, 0)</f>
        <v>3.5426503128010194</v>
      </c>
      <c r="K102" s="679">
        <f t="shared" si="82"/>
        <v>7.8343503155599299</v>
      </c>
      <c r="L102" s="680">
        <f t="shared" si="82"/>
        <v>0.60482144792135195</v>
      </c>
      <c r="M102" s="677">
        <f t="shared" si="82"/>
        <v>8.1402661090582346E-5</v>
      </c>
      <c r="N102" s="681">
        <f t="shared" si="76"/>
        <v>1.7746359496117717E-3</v>
      </c>
      <c r="O102" s="679">
        <f t="shared" ref="O102:P105" si="83">IFERROR($D102*O122/100, 0)</f>
        <v>1.7746359496117717E-3</v>
      </c>
      <c r="P102" s="682">
        <f t="shared" si="83"/>
        <v>0</v>
      </c>
      <c r="Q102" s="677">
        <f t="shared" si="82"/>
        <v>6.9332278366593346E-5</v>
      </c>
    </row>
    <row r="103" spans="2:17">
      <c r="B103" s="558" t="s">
        <v>496</v>
      </c>
      <c r="C103" s="559" t="s">
        <v>591</v>
      </c>
      <c r="D103" s="676">
        <v>0</v>
      </c>
      <c r="E103" s="677">
        <f t="shared" si="73"/>
        <v>0</v>
      </c>
      <c r="F103" s="678">
        <f t="shared" si="81"/>
        <v>0</v>
      </c>
      <c r="G103" s="679">
        <f t="shared" si="81"/>
        <v>0</v>
      </c>
      <c r="H103" s="680">
        <f t="shared" si="81"/>
        <v>0</v>
      </c>
      <c r="I103" s="677">
        <f t="shared" si="74"/>
        <v>0</v>
      </c>
      <c r="J103" s="678">
        <f t="shared" si="82"/>
        <v>0</v>
      </c>
      <c r="K103" s="679">
        <f t="shared" si="82"/>
        <v>0</v>
      </c>
      <c r="L103" s="680">
        <f t="shared" si="82"/>
        <v>0</v>
      </c>
      <c r="M103" s="677">
        <f t="shared" si="82"/>
        <v>0</v>
      </c>
      <c r="N103" s="681">
        <f t="shared" si="76"/>
        <v>0</v>
      </c>
      <c r="O103" s="679">
        <f t="shared" si="83"/>
        <v>0</v>
      </c>
      <c r="P103" s="682">
        <f t="shared" si="83"/>
        <v>0</v>
      </c>
      <c r="Q103" s="677">
        <f t="shared" si="82"/>
        <v>0</v>
      </c>
    </row>
    <row r="104" spans="2:17">
      <c r="B104" s="558" t="s">
        <v>638</v>
      </c>
      <c r="C104" s="559" t="s">
        <v>23</v>
      </c>
      <c r="D104" s="676">
        <v>0</v>
      </c>
      <c r="E104" s="677">
        <f t="shared" si="73"/>
        <v>0</v>
      </c>
      <c r="F104" s="678">
        <f t="shared" si="81"/>
        <v>0</v>
      </c>
      <c r="G104" s="679">
        <f t="shared" si="81"/>
        <v>0</v>
      </c>
      <c r="H104" s="680">
        <f t="shared" si="81"/>
        <v>0</v>
      </c>
      <c r="I104" s="677">
        <f t="shared" si="74"/>
        <v>0</v>
      </c>
      <c r="J104" s="678">
        <f t="shared" si="82"/>
        <v>0</v>
      </c>
      <c r="K104" s="679">
        <f t="shared" si="82"/>
        <v>0</v>
      </c>
      <c r="L104" s="680">
        <f t="shared" si="82"/>
        <v>0</v>
      </c>
      <c r="M104" s="677">
        <f t="shared" si="82"/>
        <v>0</v>
      </c>
      <c r="N104" s="681">
        <f t="shared" si="76"/>
        <v>0</v>
      </c>
      <c r="O104" s="679">
        <f t="shared" si="83"/>
        <v>0</v>
      </c>
      <c r="P104" s="682">
        <f t="shared" si="83"/>
        <v>0</v>
      </c>
      <c r="Q104" s="677">
        <f t="shared" si="82"/>
        <v>0</v>
      </c>
    </row>
    <row r="105" spans="2:17">
      <c r="B105" s="558" t="s">
        <v>639</v>
      </c>
      <c r="C105" s="559" t="s">
        <v>640</v>
      </c>
      <c r="D105" s="676">
        <v>0</v>
      </c>
      <c r="E105" s="677">
        <f t="shared" si="73"/>
        <v>0</v>
      </c>
      <c r="F105" s="678">
        <f t="shared" si="81"/>
        <v>0</v>
      </c>
      <c r="G105" s="679">
        <f t="shared" si="81"/>
        <v>0</v>
      </c>
      <c r="H105" s="680">
        <f t="shared" si="81"/>
        <v>0</v>
      </c>
      <c r="I105" s="677">
        <f t="shared" si="74"/>
        <v>0</v>
      </c>
      <c r="J105" s="678">
        <f t="shared" si="82"/>
        <v>0</v>
      </c>
      <c r="K105" s="679">
        <f t="shared" si="82"/>
        <v>0</v>
      </c>
      <c r="L105" s="680">
        <f t="shared" si="82"/>
        <v>0</v>
      </c>
      <c r="M105" s="677">
        <f t="shared" si="82"/>
        <v>0</v>
      </c>
      <c r="N105" s="681">
        <f t="shared" si="76"/>
        <v>0</v>
      </c>
      <c r="O105" s="679">
        <f t="shared" si="83"/>
        <v>0</v>
      </c>
      <c r="P105" s="682">
        <f t="shared" si="83"/>
        <v>0</v>
      </c>
      <c r="Q105" s="677">
        <f t="shared" si="82"/>
        <v>0</v>
      </c>
    </row>
    <row r="106" spans="2:17">
      <c r="B106" s="556" t="s">
        <v>169</v>
      </c>
      <c r="C106" s="562" t="s">
        <v>27</v>
      </c>
      <c r="D106" s="630">
        <f>D107</f>
        <v>0</v>
      </c>
      <c r="E106" s="670">
        <f t="shared" si="73"/>
        <v>0</v>
      </c>
      <c r="F106" s="671">
        <f>F107</f>
        <v>0</v>
      </c>
      <c r="G106" s="672">
        <f>G107</f>
        <v>0</v>
      </c>
      <c r="H106" s="673">
        <f>H107</f>
        <v>0</v>
      </c>
      <c r="I106" s="670">
        <f t="shared" si="74"/>
        <v>0</v>
      </c>
      <c r="J106" s="671">
        <f t="shared" ref="J106:Q106" si="84">J107</f>
        <v>0</v>
      </c>
      <c r="K106" s="672">
        <f t="shared" si="84"/>
        <v>0</v>
      </c>
      <c r="L106" s="673">
        <f t="shared" si="84"/>
        <v>0</v>
      </c>
      <c r="M106" s="670">
        <f t="shared" si="84"/>
        <v>0</v>
      </c>
      <c r="N106" s="674">
        <f t="shared" si="76"/>
        <v>0</v>
      </c>
      <c r="O106" s="672">
        <f t="shared" si="84"/>
        <v>0</v>
      </c>
      <c r="P106" s="675">
        <f t="shared" si="84"/>
        <v>0</v>
      </c>
      <c r="Q106" s="670">
        <f t="shared" si="84"/>
        <v>0</v>
      </c>
    </row>
    <row r="107" spans="2:17">
      <c r="B107" s="558" t="s">
        <v>497</v>
      </c>
      <c r="C107" s="563" t="s">
        <v>641</v>
      </c>
      <c r="D107" s="676">
        <v>0</v>
      </c>
      <c r="E107" s="677">
        <f t="shared" si="73"/>
        <v>0</v>
      </c>
      <c r="F107" s="678">
        <f>IFERROR($D107*F126/100, 0)</f>
        <v>0</v>
      </c>
      <c r="G107" s="679">
        <f>IFERROR($D107*G126/100, 0)</f>
        <v>0</v>
      </c>
      <c r="H107" s="680">
        <f>IFERROR($D107*H126/100, 0)</f>
        <v>0</v>
      </c>
      <c r="I107" s="677">
        <f t="shared" si="74"/>
        <v>0</v>
      </c>
      <c r="J107" s="678">
        <f t="shared" ref="J107:Q107" si="85">IFERROR($D107*J126/100, 0)</f>
        <v>0</v>
      </c>
      <c r="K107" s="679">
        <f t="shared" si="85"/>
        <v>0</v>
      </c>
      <c r="L107" s="680">
        <f t="shared" si="85"/>
        <v>0</v>
      </c>
      <c r="M107" s="677">
        <f t="shared" si="85"/>
        <v>0</v>
      </c>
      <c r="N107" s="681">
        <f t="shared" si="76"/>
        <v>0</v>
      </c>
      <c r="O107" s="679">
        <f t="shared" si="85"/>
        <v>0</v>
      </c>
      <c r="P107" s="682">
        <f t="shared" si="85"/>
        <v>0</v>
      </c>
      <c r="Q107" s="677">
        <f t="shared" si="85"/>
        <v>0</v>
      </c>
    </row>
    <row r="108" spans="2:17">
      <c r="B108" s="556" t="s">
        <v>171</v>
      </c>
      <c r="C108" s="562" t="s">
        <v>33</v>
      </c>
      <c r="D108" s="630">
        <f>D109+D110</f>
        <v>0</v>
      </c>
      <c r="E108" s="670">
        <f t="shared" si="73"/>
        <v>0</v>
      </c>
      <c r="F108" s="671">
        <f>F109+F110</f>
        <v>0</v>
      </c>
      <c r="G108" s="672">
        <f>G109+G110</f>
        <v>0</v>
      </c>
      <c r="H108" s="673">
        <f>H109+H110</f>
        <v>0</v>
      </c>
      <c r="I108" s="670">
        <f t="shared" si="74"/>
        <v>0</v>
      </c>
      <c r="J108" s="671">
        <f t="shared" ref="J108:Q108" si="86">J109+J110</f>
        <v>0</v>
      </c>
      <c r="K108" s="672">
        <f t="shared" si="86"/>
        <v>0</v>
      </c>
      <c r="L108" s="673">
        <f t="shared" si="86"/>
        <v>0</v>
      </c>
      <c r="M108" s="670">
        <f t="shared" si="86"/>
        <v>0</v>
      </c>
      <c r="N108" s="674">
        <f t="shared" si="76"/>
        <v>0</v>
      </c>
      <c r="O108" s="672">
        <f t="shared" si="86"/>
        <v>0</v>
      </c>
      <c r="P108" s="675">
        <f t="shared" si="86"/>
        <v>0</v>
      </c>
      <c r="Q108" s="670">
        <f t="shared" si="86"/>
        <v>0</v>
      </c>
    </row>
    <row r="109" spans="2:17">
      <c r="B109" s="558" t="s">
        <v>498</v>
      </c>
      <c r="C109" s="563" t="s">
        <v>595</v>
      </c>
      <c r="D109" s="676">
        <v>0</v>
      </c>
      <c r="E109" s="677">
        <f t="shared" si="73"/>
        <v>0</v>
      </c>
      <c r="F109" s="678">
        <f t="shared" ref="F109:H110" si="87">IFERROR($D109*F127/100, 0)</f>
        <v>0</v>
      </c>
      <c r="G109" s="679">
        <f t="shared" si="87"/>
        <v>0</v>
      </c>
      <c r="H109" s="680">
        <f t="shared" si="87"/>
        <v>0</v>
      </c>
      <c r="I109" s="677">
        <f t="shared" si="74"/>
        <v>0</v>
      </c>
      <c r="J109" s="678">
        <f t="shared" ref="J109:Q110" si="88">IFERROR($D109*J127/100, 0)</f>
        <v>0</v>
      </c>
      <c r="K109" s="679">
        <f t="shared" si="88"/>
        <v>0</v>
      </c>
      <c r="L109" s="680">
        <f t="shared" si="88"/>
        <v>0</v>
      </c>
      <c r="M109" s="677">
        <f t="shared" si="88"/>
        <v>0</v>
      </c>
      <c r="N109" s="681">
        <f t="shared" si="76"/>
        <v>0</v>
      </c>
      <c r="O109" s="679">
        <f t="shared" ref="O109:P110" si="89">IFERROR($D109*O127/100, 0)</f>
        <v>0</v>
      </c>
      <c r="P109" s="682">
        <f t="shared" si="89"/>
        <v>0</v>
      </c>
      <c r="Q109" s="677">
        <f t="shared" si="88"/>
        <v>0</v>
      </c>
    </row>
    <row r="110" spans="2:17" ht="26.25">
      <c r="B110" s="558" t="s">
        <v>499</v>
      </c>
      <c r="C110" s="599" t="s">
        <v>597</v>
      </c>
      <c r="D110" s="676">
        <v>0</v>
      </c>
      <c r="E110" s="677">
        <f t="shared" si="73"/>
        <v>0</v>
      </c>
      <c r="F110" s="678">
        <f t="shared" si="87"/>
        <v>0</v>
      </c>
      <c r="G110" s="679">
        <f t="shared" si="87"/>
        <v>0</v>
      </c>
      <c r="H110" s="680">
        <f t="shared" si="87"/>
        <v>0</v>
      </c>
      <c r="I110" s="677">
        <f t="shared" si="74"/>
        <v>0</v>
      </c>
      <c r="J110" s="678">
        <f t="shared" si="88"/>
        <v>0</v>
      </c>
      <c r="K110" s="679">
        <f t="shared" si="88"/>
        <v>0</v>
      </c>
      <c r="L110" s="680">
        <f t="shared" si="88"/>
        <v>0</v>
      </c>
      <c r="M110" s="677">
        <f t="shared" si="88"/>
        <v>0</v>
      </c>
      <c r="N110" s="681">
        <f t="shared" si="76"/>
        <v>0</v>
      </c>
      <c r="O110" s="679">
        <f t="shared" si="89"/>
        <v>0</v>
      </c>
      <c r="P110" s="682">
        <f t="shared" si="89"/>
        <v>0</v>
      </c>
      <c r="Q110" s="677">
        <f t="shared" si="88"/>
        <v>0</v>
      </c>
    </row>
    <row r="111" spans="2:17">
      <c r="B111" s="556" t="s">
        <v>173</v>
      </c>
      <c r="C111" s="568" t="s">
        <v>39</v>
      </c>
      <c r="D111" s="639">
        <f>D112+D113</f>
        <v>0</v>
      </c>
      <c r="E111" s="640">
        <f t="shared" si="73"/>
        <v>0</v>
      </c>
      <c r="F111" s="683">
        <f>F112+F113</f>
        <v>0</v>
      </c>
      <c r="G111" s="684">
        <f>G112+G113</f>
        <v>0</v>
      </c>
      <c r="H111" s="685">
        <f>H112+H113</f>
        <v>0</v>
      </c>
      <c r="I111" s="640">
        <f t="shared" si="74"/>
        <v>0</v>
      </c>
      <c r="J111" s="683">
        <f t="shared" ref="J111:Q111" si="90">J112+J113</f>
        <v>0</v>
      </c>
      <c r="K111" s="684">
        <f t="shared" si="90"/>
        <v>0</v>
      </c>
      <c r="L111" s="685">
        <f t="shared" si="90"/>
        <v>0</v>
      </c>
      <c r="M111" s="640">
        <f t="shared" si="90"/>
        <v>0</v>
      </c>
      <c r="N111" s="686">
        <f t="shared" si="76"/>
        <v>0</v>
      </c>
      <c r="O111" s="684">
        <f t="shared" si="90"/>
        <v>0</v>
      </c>
      <c r="P111" s="687">
        <f t="shared" si="90"/>
        <v>0</v>
      </c>
      <c r="Q111" s="640">
        <f t="shared" si="90"/>
        <v>0</v>
      </c>
    </row>
    <row r="112" spans="2:17">
      <c r="B112" s="574" t="s">
        <v>642</v>
      </c>
      <c r="C112" s="575" t="s">
        <v>41</v>
      </c>
      <c r="D112" s="688">
        <v>0</v>
      </c>
      <c r="E112" s="677">
        <f t="shared" si="73"/>
        <v>0</v>
      </c>
      <c r="F112" s="678">
        <f t="shared" ref="F112:H113" si="91">IFERROR($D112*F129/100, 0)</f>
        <v>0</v>
      </c>
      <c r="G112" s="679">
        <f t="shared" si="91"/>
        <v>0</v>
      </c>
      <c r="H112" s="680">
        <f t="shared" si="91"/>
        <v>0</v>
      </c>
      <c r="I112" s="677">
        <f t="shared" si="74"/>
        <v>0</v>
      </c>
      <c r="J112" s="678">
        <f t="shared" ref="J112:Q113" si="92">IFERROR($D112*J129/100, 0)</f>
        <v>0</v>
      </c>
      <c r="K112" s="679">
        <f t="shared" si="92"/>
        <v>0</v>
      </c>
      <c r="L112" s="680">
        <f t="shared" si="92"/>
        <v>0</v>
      </c>
      <c r="M112" s="677">
        <f t="shared" si="92"/>
        <v>0</v>
      </c>
      <c r="N112" s="681">
        <f t="shared" si="76"/>
        <v>0</v>
      </c>
      <c r="O112" s="679">
        <f t="shared" ref="O112:P113" si="93">IFERROR($D112*O129/100, 0)</f>
        <v>0</v>
      </c>
      <c r="P112" s="682">
        <f t="shared" si="93"/>
        <v>0</v>
      </c>
      <c r="Q112" s="677">
        <f t="shared" si="92"/>
        <v>0</v>
      </c>
    </row>
    <row r="113" spans="2:17">
      <c r="B113" s="574" t="s">
        <v>643</v>
      </c>
      <c r="C113" s="579" t="s">
        <v>644</v>
      </c>
      <c r="D113" s="688">
        <v>0</v>
      </c>
      <c r="E113" s="677">
        <f t="shared" si="73"/>
        <v>0</v>
      </c>
      <c r="F113" s="678">
        <f t="shared" si="91"/>
        <v>0</v>
      </c>
      <c r="G113" s="679">
        <f t="shared" si="91"/>
        <v>0</v>
      </c>
      <c r="H113" s="680">
        <f t="shared" si="91"/>
        <v>0</v>
      </c>
      <c r="I113" s="677">
        <f t="shared" si="74"/>
        <v>0</v>
      </c>
      <c r="J113" s="678">
        <f t="shared" si="92"/>
        <v>0</v>
      </c>
      <c r="K113" s="679">
        <f t="shared" si="92"/>
        <v>0</v>
      </c>
      <c r="L113" s="680">
        <f t="shared" si="92"/>
        <v>0</v>
      </c>
      <c r="M113" s="677">
        <f t="shared" si="92"/>
        <v>0</v>
      </c>
      <c r="N113" s="681">
        <f t="shared" si="76"/>
        <v>0</v>
      </c>
      <c r="O113" s="679">
        <f t="shared" si="93"/>
        <v>0</v>
      </c>
      <c r="P113" s="682">
        <f t="shared" si="93"/>
        <v>0</v>
      </c>
      <c r="Q113" s="677">
        <f t="shared" si="92"/>
        <v>0</v>
      </c>
    </row>
    <row r="114" spans="2:17">
      <c r="B114" s="580" t="s">
        <v>175</v>
      </c>
      <c r="C114" s="581" t="s">
        <v>598</v>
      </c>
      <c r="D114" s="639">
        <f>SUM(D115:D117)</f>
        <v>4.6500000000000004</v>
      </c>
      <c r="E114" s="640">
        <f t="shared" si="73"/>
        <v>1.2629397664252939</v>
      </c>
      <c r="F114" s="639">
        <f>SUM(F115:F117)</f>
        <v>8.6429534234395422E-2</v>
      </c>
      <c r="G114" s="689">
        <f t="shared" ref="G114:H114" si="94">SUM(G115:G117)</f>
        <v>8.2111964330115458E-2</v>
      </c>
      <c r="H114" s="690">
        <f t="shared" si="94"/>
        <v>1.0943982678607831</v>
      </c>
      <c r="I114" s="640">
        <f t="shared" si="74"/>
        <v>3.3797800622156</v>
      </c>
      <c r="J114" s="689">
        <f t="shared" ref="J114:Q114" si="95">SUM(J115:J117)</f>
        <v>1.8143841760662156</v>
      </c>
      <c r="K114" s="689">
        <f t="shared" si="95"/>
        <v>1.5164366516068981</v>
      </c>
      <c r="L114" s="691">
        <f t="shared" si="95"/>
        <v>4.8959234542486116E-2</v>
      </c>
      <c r="M114" s="692">
        <f t="shared" si="95"/>
        <v>3.0779800670680804E-4</v>
      </c>
      <c r="N114" s="686">
        <f t="shared" si="76"/>
        <v>6.7102156195227936E-3</v>
      </c>
      <c r="O114" s="689">
        <f t="shared" ref="O114:P114" si="96">SUM(O115:O117)</f>
        <v>6.7102156195227936E-3</v>
      </c>
      <c r="P114" s="693">
        <f t="shared" si="96"/>
        <v>0</v>
      </c>
      <c r="Q114" s="692">
        <f t="shared" si="95"/>
        <v>2.6215773287721031E-4</v>
      </c>
    </row>
    <row r="115" spans="2:17">
      <c r="B115" s="582" t="s">
        <v>503</v>
      </c>
      <c r="C115" s="583" t="s">
        <v>599</v>
      </c>
      <c r="D115" s="694">
        <v>0</v>
      </c>
      <c r="E115" s="677">
        <f t="shared" si="73"/>
        <v>0</v>
      </c>
      <c r="F115" s="678">
        <f t="shared" ref="F115:H117" si="97">IFERROR($D115*F131/100, 0)</f>
        <v>0</v>
      </c>
      <c r="G115" s="679">
        <f t="shared" si="97"/>
        <v>0</v>
      </c>
      <c r="H115" s="680">
        <f t="shared" si="97"/>
        <v>0</v>
      </c>
      <c r="I115" s="677">
        <f t="shared" si="74"/>
        <v>0</v>
      </c>
      <c r="J115" s="678">
        <f t="shared" ref="J115:Q117" si="98">IFERROR($D115*J131/100, 0)</f>
        <v>0</v>
      </c>
      <c r="K115" s="679">
        <f t="shared" si="98"/>
        <v>0</v>
      </c>
      <c r="L115" s="680">
        <f t="shared" si="98"/>
        <v>0</v>
      </c>
      <c r="M115" s="677">
        <f t="shared" si="98"/>
        <v>0</v>
      </c>
      <c r="N115" s="681">
        <f t="shared" si="76"/>
        <v>0</v>
      </c>
      <c r="O115" s="679">
        <f t="shared" ref="O115:P117" si="99">IFERROR($D115*O131/100, 0)</f>
        <v>0</v>
      </c>
      <c r="P115" s="682">
        <f t="shared" si="99"/>
        <v>0</v>
      </c>
      <c r="Q115" s="677">
        <f t="shared" si="98"/>
        <v>0</v>
      </c>
    </row>
    <row r="116" spans="2:17">
      <c r="B116" s="574" t="s">
        <v>504</v>
      </c>
      <c r="C116" s="583" t="s">
        <v>599</v>
      </c>
      <c r="D116" s="694">
        <v>0</v>
      </c>
      <c r="E116" s="677">
        <f t="shared" si="73"/>
        <v>0</v>
      </c>
      <c r="F116" s="678">
        <f t="shared" si="97"/>
        <v>0</v>
      </c>
      <c r="G116" s="679">
        <f t="shared" si="97"/>
        <v>0</v>
      </c>
      <c r="H116" s="680">
        <f t="shared" si="97"/>
        <v>0</v>
      </c>
      <c r="I116" s="677">
        <f t="shared" si="74"/>
        <v>0</v>
      </c>
      <c r="J116" s="678">
        <f t="shared" si="98"/>
        <v>0</v>
      </c>
      <c r="K116" s="679">
        <f t="shared" si="98"/>
        <v>0</v>
      </c>
      <c r="L116" s="680">
        <f t="shared" si="98"/>
        <v>0</v>
      </c>
      <c r="M116" s="677">
        <f t="shared" si="98"/>
        <v>0</v>
      </c>
      <c r="N116" s="681">
        <f t="shared" si="76"/>
        <v>0</v>
      </c>
      <c r="O116" s="679">
        <f t="shared" si="99"/>
        <v>0</v>
      </c>
      <c r="P116" s="682">
        <f t="shared" si="99"/>
        <v>0</v>
      </c>
      <c r="Q116" s="677">
        <f t="shared" si="98"/>
        <v>0</v>
      </c>
    </row>
    <row r="117" spans="2:17">
      <c r="B117" s="620" t="s">
        <v>505</v>
      </c>
      <c r="C117" s="585" t="s">
        <v>599</v>
      </c>
      <c r="D117" s="676">
        <v>4.6500000000000004</v>
      </c>
      <c r="E117" s="677">
        <f t="shared" si="73"/>
        <v>1.2629397664252939</v>
      </c>
      <c r="F117" s="678">
        <f t="shared" si="97"/>
        <v>8.6429534234395422E-2</v>
      </c>
      <c r="G117" s="679">
        <f t="shared" si="97"/>
        <v>8.2111964330115458E-2</v>
      </c>
      <c r="H117" s="680">
        <f t="shared" si="97"/>
        <v>1.0943982678607831</v>
      </c>
      <c r="I117" s="677">
        <f t="shared" si="74"/>
        <v>3.3797800622156</v>
      </c>
      <c r="J117" s="678">
        <f t="shared" si="98"/>
        <v>1.8143841760662156</v>
      </c>
      <c r="K117" s="679">
        <f t="shared" si="98"/>
        <v>1.5164366516068981</v>
      </c>
      <c r="L117" s="680">
        <f t="shared" si="98"/>
        <v>4.8959234542486116E-2</v>
      </c>
      <c r="M117" s="677">
        <f t="shared" si="98"/>
        <v>3.0779800670680804E-4</v>
      </c>
      <c r="N117" s="681">
        <f t="shared" si="76"/>
        <v>6.7102156195227936E-3</v>
      </c>
      <c r="O117" s="679">
        <f t="shared" si="99"/>
        <v>6.7102156195227936E-3</v>
      </c>
      <c r="P117" s="682">
        <f t="shared" si="99"/>
        <v>0</v>
      </c>
      <c r="Q117" s="677">
        <f t="shared" si="98"/>
        <v>2.6215773287721031E-4</v>
      </c>
    </row>
    <row r="118" spans="2:17" ht="68.25" customHeight="1" thickBot="1">
      <c r="B118" s="546" t="s">
        <v>79</v>
      </c>
      <c r="C118" s="32" t="s">
        <v>645</v>
      </c>
      <c r="D118" s="123" t="s">
        <v>249</v>
      </c>
      <c r="E118" s="124" t="s">
        <v>250</v>
      </c>
      <c r="F118" s="125" t="s">
        <v>251</v>
      </c>
      <c r="G118" s="126" t="s">
        <v>252</v>
      </c>
      <c r="H118" s="127" t="s">
        <v>253</v>
      </c>
      <c r="I118" s="124" t="s">
        <v>254</v>
      </c>
      <c r="J118" s="125" t="s">
        <v>255</v>
      </c>
      <c r="K118" s="126" t="s">
        <v>256</v>
      </c>
      <c r="L118" s="628" t="s">
        <v>257</v>
      </c>
      <c r="M118" s="124" t="s">
        <v>258</v>
      </c>
      <c r="N118" s="128" t="s">
        <v>259</v>
      </c>
      <c r="O118" s="130" t="s">
        <v>260</v>
      </c>
      <c r="P118" s="486" t="s">
        <v>261</v>
      </c>
      <c r="Q118" s="132" t="s">
        <v>262</v>
      </c>
    </row>
    <row r="119" spans="2:17">
      <c r="B119" s="387" t="s">
        <v>208</v>
      </c>
      <c r="C119" s="629" t="s">
        <v>646</v>
      </c>
      <c r="D119" s="630">
        <f t="shared" ref="D119:D134" si="100">E119+I119+M119+N119+Q119</f>
        <v>100.00000000000001</v>
      </c>
      <c r="E119" s="631">
        <f t="shared" ref="E119:E134" si="101">SUM(F119:H119)</f>
        <v>34.589509999999997</v>
      </c>
      <c r="F119" s="632">
        <v>2.36714</v>
      </c>
      <c r="G119" s="633">
        <v>2.2488899999999998</v>
      </c>
      <c r="H119" s="634">
        <v>29.973479999999999</v>
      </c>
      <c r="I119" s="631">
        <f t="shared" ref="I119:I134" si="102">SUM(J119:L119)</f>
        <v>65.211100000000002</v>
      </c>
      <c r="J119" s="632">
        <v>49.692520000000002</v>
      </c>
      <c r="K119" s="633">
        <v>14.177680000000001</v>
      </c>
      <c r="L119" s="634">
        <v>1.3409</v>
      </c>
      <c r="M119" s="635">
        <v>8.43E-3</v>
      </c>
      <c r="N119" s="636">
        <f>SUM(O119:P119)</f>
        <v>0.18378</v>
      </c>
      <c r="O119" s="633">
        <v>0.18378</v>
      </c>
      <c r="P119" s="637">
        <v>0</v>
      </c>
      <c r="Q119" s="635">
        <v>7.1799999999999998E-3</v>
      </c>
    </row>
    <row r="120" spans="2:17">
      <c r="B120" s="417" t="s">
        <v>210</v>
      </c>
      <c r="C120" s="638" t="s">
        <v>647</v>
      </c>
      <c r="D120" s="639">
        <f t="shared" si="100"/>
        <v>0</v>
      </c>
      <c r="E120" s="640">
        <f t="shared" si="101"/>
        <v>0</v>
      </c>
      <c r="F120" s="641">
        <v>0</v>
      </c>
      <c r="G120" s="642">
        <v>0</v>
      </c>
      <c r="H120" s="643">
        <v>0</v>
      </c>
      <c r="I120" s="640">
        <f t="shared" si="102"/>
        <v>0</v>
      </c>
      <c r="J120" s="641">
        <v>0</v>
      </c>
      <c r="K120" s="642">
        <v>0</v>
      </c>
      <c r="L120" s="643">
        <v>0</v>
      </c>
      <c r="M120" s="644">
        <v>0</v>
      </c>
      <c r="N120" s="636">
        <f t="shared" ref="N120:N133" si="103">SUM(O120:P120)</f>
        <v>0</v>
      </c>
      <c r="O120" s="642">
        <v>0</v>
      </c>
      <c r="P120" s="645">
        <v>0</v>
      </c>
      <c r="Q120" s="644">
        <v>0</v>
      </c>
    </row>
    <row r="121" spans="2:17">
      <c r="B121" s="417" t="s">
        <v>218</v>
      </c>
      <c r="C121" s="638" t="s">
        <v>648</v>
      </c>
      <c r="D121" s="639">
        <f t="shared" si="100"/>
        <v>0</v>
      </c>
      <c r="E121" s="640">
        <f t="shared" si="101"/>
        <v>0</v>
      </c>
      <c r="F121" s="641">
        <v>0</v>
      </c>
      <c r="G121" s="642">
        <v>0</v>
      </c>
      <c r="H121" s="643">
        <v>0</v>
      </c>
      <c r="I121" s="640">
        <f t="shared" si="102"/>
        <v>0</v>
      </c>
      <c r="J121" s="641">
        <v>0</v>
      </c>
      <c r="K121" s="642">
        <v>0</v>
      </c>
      <c r="L121" s="643">
        <v>0</v>
      </c>
      <c r="M121" s="644">
        <v>0</v>
      </c>
      <c r="N121" s="636">
        <f t="shared" si="103"/>
        <v>0</v>
      </c>
      <c r="O121" s="642">
        <v>0</v>
      </c>
      <c r="P121" s="645">
        <v>0</v>
      </c>
      <c r="Q121" s="644">
        <v>0</v>
      </c>
    </row>
    <row r="122" spans="2:17">
      <c r="B122" s="421" t="s">
        <v>649</v>
      </c>
      <c r="C122" s="638" t="s">
        <v>650</v>
      </c>
      <c r="D122" s="639">
        <f t="shared" si="100"/>
        <v>100.00000000000001</v>
      </c>
      <c r="E122" s="640">
        <f t="shared" si="101"/>
        <v>15.454635297506842</v>
      </c>
      <c r="F122" s="641">
        <v>11.340537390352701</v>
      </c>
      <c r="G122" s="642">
        <v>1.90836295414558</v>
      </c>
      <c r="H122" s="643">
        <v>2.2057349530085602</v>
      </c>
      <c r="I122" s="640">
        <f t="shared" si="102"/>
        <v>84.531781206619144</v>
      </c>
      <c r="J122" s="641">
        <v>24.993405779747199</v>
      </c>
      <c r="K122" s="642">
        <v>55.271358776210597</v>
      </c>
      <c r="L122" s="643">
        <v>4.2670166506613496</v>
      </c>
      <c r="M122" s="644">
        <v>5.7429595374869195E-4</v>
      </c>
      <c r="N122" s="636">
        <f t="shared" si="103"/>
        <v>1.2520060543289999E-2</v>
      </c>
      <c r="O122" s="642">
        <v>1.2520060543289999E-2</v>
      </c>
      <c r="P122" s="645">
        <v>0</v>
      </c>
      <c r="Q122" s="644">
        <v>4.8913937697694096E-4</v>
      </c>
    </row>
    <row r="123" spans="2:17">
      <c r="B123" s="417" t="s">
        <v>651</v>
      </c>
      <c r="C123" s="638" t="s">
        <v>652</v>
      </c>
      <c r="D123" s="639">
        <f t="shared" si="100"/>
        <v>100.00000000000006</v>
      </c>
      <c r="E123" s="640">
        <f t="shared" si="101"/>
        <v>0</v>
      </c>
      <c r="F123" s="641">
        <v>0</v>
      </c>
      <c r="G123" s="642">
        <v>0</v>
      </c>
      <c r="H123" s="643">
        <v>0</v>
      </c>
      <c r="I123" s="640">
        <f t="shared" si="102"/>
        <v>100.00000000000006</v>
      </c>
      <c r="J123" s="641">
        <v>4.0176957068522503</v>
      </c>
      <c r="K123" s="642">
        <v>95.982304293147806</v>
      </c>
      <c r="L123" s="643">
        <v>0</v>
      </c>
      <c r="M123" s="644">
        <v>0</v>
      </c>
      <c r="N123" s="636">
        <f t="shared" si="103"/>
        <v>0</v>
      </c>
      <c r="O123" s="642">
        <v>0</v>
      </c>
      <c r="P123" s="645">
        <v>0</v>
      </c>
      <c r="Q123" s="644">
        <v>0</v>
      </c>
    </row>
    <row r="124" spans="2:17">
      <c r="B124" s="417" t="s">
        <v>653</v>
      </c>
      <c r="C124" s="638" t="s">
        <v>654</v>
      </c>
      <c r="D124" s="639">
        <f t="shared" si="100"/>
        <v>100</v>
      </c>
      <c r="E124" s="640">
        <f t="shared" si="101"/>
        <v>49.185268121914703</v>
      </c>
      <c r="F124" s="641">
        <v>0</v>
      </c>
      <c r="G124" s="642">
        <v>0</v>
      </c>
      <c r="H124" s="643">
        <v>49.185268121914703</v>
      </c>
      <c r="I124" s="640">
        <f t="shared" si="102"/>
        <v>50.814731878085297</v>
      </c>
      <c r="J124" s="641">
        <v>50.814731878085297</v>
      </c>
      <c r="K124" s="642">
        <v>0</v>
      </c>
      <c r="L124" s="643">
        <v>0</v>
      </c>
      <c r="M124" s="644">
        <v>0</v>
      </c>
      <c r="N124" s="636">
        <f t="shared" si="103"/>
        <v>0</v>
      </c>
      <c r="O124" s="642">
        <v>0</v>
      </c>
      <c r="P124" s="645">
        <v>0</v>
      </c>
      <c r="Q124" s="644">
        <v>0</v>
      </c>
    </row>
    <row r="125" spans="2:17">
      <c r="B125" s="417" t="s">
        <v>655</v>
      </c>
      <c r="C125" s="638" t="s">
        <v>656</v>
      </c>
      <c r="D125" s="639">
        <f t="shared" si="100"/>
        <v>100.00000000000006</v>
      </c>
      <c r="E125" s="640">
        <f t="shared" si="101"/>
        <v>11.903740083899079</v>
      </c>
      <c r="F125" s="641">
        <v>1.5869066765072599</v>
      </c>
      <c r="G125" s="642">
        <v>9.7308112187421703</v>
      </c>
      <c r="H125" s="643">
        <v>0.58602218864964795</v>
      </c>
      <c r="I125" s="640">
        <f t="shared" si="102"/>
        <v>88.096259916100976</v>
      </c>
      <c r="J125" s="641">
        <v>7.2244624278029201</v>
      </c>
      <c r="K125" s="642">
        <v>79.734791987699296</v>
      </c>
      <c r="L125" s="643">
        <v>1.13700550059876</v>
      </c>
      <c r="M125" s="644">
        <v>0</v>
      </c>
      <c r="N125" s="636">
        <f t="shared" si="103"/>
        <v>0</v>
      </c>
      <c r="O125" s="642">
        <v>0</v>
      </c>
      <c r="P125" s="645">
        <v>0</v>
      </c>
      <c r="Q125" s="644">
        <v>0</v>
      </c>
    </row>
    <row r="126" spans="2:17">
      <c r="B126" s="421" t="s">
        <v>657</v>
      </c>
      <c r="C126" s="638" t="s">
        <v>658</v>
      </c>
      <c r="D126" s="639">
        <f t="shared" si="100"/>
        <v>100</v>
      </c>
      <c r="E126" s="640">
        <f t="shared" si="101"/>
        <v>42.54679596792996</v>
      </c>
      <c r="F126" s="641">
        <v>33.744523781851299</v>
      </c>
      <c r="G126" s="642">
        <v>0.63489830531523905</v>
      </c>
      <c r="H126" s="643">
        <v>8.1673738807634209</v>
      </c>
      <c r="I126" s="640">
        <f t="shared" si="102"/>
        <v>57.442642756579708</v>
      </c>
      <c r="J126" s="641">
        <v>40.733274222156801</v>
      </c>
      <c r="K126" s="642">
        <v>7.9493131470616101</v>
      </c>
      <c r="L126" s="643">
        <v>8.7600553873612999</v>
      </c>
      <c r="M126" s="644">
        <v>4.4651964684007601E-4</v>
      </c>
      <c r="N126" s="636">
        <f t="shared" si="103"/>
        <v>9.7344461086914698E-3</v>
      </c>
      <c r="O126" s="642">
        <v>9.7344461086914698E-3</v>
      </c>
      <c r="P126" s="645">
        <v>0</v>
      </c>
      <c r="Q126" s="644">
        <v>3.8030973479380101E-4</v>
      </c>
    </row>
    <row r="127" spans="2:17">
      <c r="B127" s="421" t="s">
        <v>659</v>
      </c>
      <c r="C127" s="638" t="s">
        <v>660</v>
      </c>
      <c r="D127" s="639">
        <f t="shared" si="100"/>
        <v>100</v>
      </c>
      <c r="E127" s="640">
        <f t="shared" si="101"/>
        <v>0</v>
      </c>
      <c r="F127" s="641">
        <v>0</v>
      </c>
      <c r="G127" s="642">
        <v>0</v>
      </c>
      <c r="H127" s="643">
        <v>0</v>
      </c>
      <c r="I127" s="640">
        <f t="shared" si="102"/>
        <v>0</v>
      </c>
      <c r="J127" s="641">
        <v>0</v>
      </c>
      <c r="K127" s="642">
        <v>0</v>
      </c>
      <c r="L127" s="643">
        <v>0</v>
      </c>
      <c r="M127" s="644">
        <v>0</v>
      </c>
      <c r="N127" s="636">
        <f t="shared" si="103"/>
        <v>100</v>
      </c>
      <c r="O127" s="642">
        <v>100</v>
      </c>
      <c r="P127" s="645">
        <v>0</v>
      </c>
      <c r="Q127" s="644">
        <v>0</v>
      </c>
    </row>
    <row r="128" spans="2:17">
      <c r="B128" s="421" t="s">
        <v>661</v>
      </c>
      <c r="C128" s="638" t="s">
        <v>662</v>
      </c>
      <c r="D128" s="639">
        <f t="shared" si="100"/>
        <v>100.00000000000006</v>
      </c>
      <c r="E128" s="640">
        <f t="shared" si="101"/>
        <v>87.461452699269287</v>
      </c>
      <c r="F128" s="641">
        <v>6.3720092739640597</v>
      </c>
      <c r="G128" s="642">
        <v>78.6526285973532</v>
      </c>
      <c r="H128" s="643">
        <v>2.4368148279520301</v>
      </c>
      <c r="I128" s="640">
        <f t="shared" si="102"/>
        <v>12.522337087283896</v>
      </c>
      <c r="J128" s="641">
        <v>11.260691597578999</v>
      </c>
      <c r="K128" s="642">
        <v>1.1526316213519101</v>
      </c>
      <c r="L128" s="643">
        <v>0.109013868352987</v>
      </c>
      <c r="M128" s="644">
        <v>6.8535081677655204E-4</v>
      </c>
      <c r="N128" s="636">
        <f t="shared" si="103"/>
        <v>1.4941135599904501E-2</v>
      </c>
      <c r="O128" s="642">
        <v>1.4941135599904501E-2</v>
      </c>
      <c r="P128" s="645">
        <v>0</v>
      </c>
      <c r="Q128" s="644">
        <v>5.83727030184536E-4</v>
      </c>
    </row>
    <row r="129" spans="2:17">
      <c r="B129" s="421" t="s">
        <v>663</v>
      </c>
      <c r="C129" s="638" t="s">
        <v>664</v>
      </c>
      <c r="D129" s="639">
        <f t="shared" si="100"/>
        <v>100.00000000000003</v>
      </c>
      <c r="E129" s="640">
        <f t="shared" si="101"/>
        <v>41.238743782051301</v>
      </c>
      <c r="F129" s="641">
        <v>0.80422064102564095</v>
      </c>
      <c r="G129" s="642">
        <v>0.76404596153846105</v>
      </c>
      <c r="H129" s="643">
        <v>39.6704771794872</v>
      </c>
      <c r="I129" s="640">
        <f t="shared" si="102"/>
        <v>22.15505320512818</v>
      </c>
      <c r="J129" s="641">
        <v>16.882715128205099</v>
      </c>
      <c r="K129" s="642">
        <v>4.8167758974358996</v>
      </c>
      <c r="L129" s="643">
        <v>0.45556217948717997</v>
      </c>
      <c r="M129" s="644">
        <v>15.066966602564101</v>
      </c>
      <c r="N129" s="636">
        <f t="shared" si="103"/>
        <v>21.5367970512821</v>
      </c>
      <c r="O129" s="642">
        <v>21.5367970512821</v>
      </c>
      <c r="P129" s="645">
        <v>0</v>
      </c>
      <c r="Q129" s="644">
        <v>2.4393589743589698E-3</v>
      </c>
    </row>
    <row r="130" spans="2:17">
      <c r="B130" s="417" t="s">
        <v>665</v>
      </c>
      <c r="C130" s="638" t="s">
        <v>666</v>
      </c>
      <c r="D130" s="639">
        <f t="shared" si="100"/>
        <v>100</v>
      </c>
      <c r="E130" s="640">
        <f t="shared" si="101"/>
        <v>10.699021314126455</v>
      </c>
      <c r="F130" s="641">
        <v>0.73218965268722502</v>
      </c>
      <c r="G130" s="642">
        <v>0.69561326665586898</v>
      </c>
      <c r="H130" s="643">
        <v>9.2712183947833608</v>
      </c>
      <c r="I130" s="640">
        <f t="shared" si="102"/>
        <v>85.96054185820924</v>
      </c>
      <c r="J130" s="641">
        <v>59.028778854006902</v>
      </c>
      <c r="K130" s="642">
        <v>4.3853555747064403</v>
      </c>
      <c r="L130" s="643">
        <v>22.5464074294959</v>
      </c>
      <c r="M130" s="644">
        <v>2.6075174143283899E-3</v>
      </c>
      <c r="N130" s="636">
        <f t="shared" si="103"/>
        <v>5.6845735516639601E-2</v>
      </c>
      <c r="O130" s="642">
        <v>5.6845735516639601E-2</v>
      </c>
      <c r="P130" s="645">
        <v>0</v>
      </c>
      <c r="Q130" s="644">
        <v>3.2809835747333298</v>
      </c>
    </row>
    <row r="131" spans="2:17">
      <c r="B131" s="421" t="s">
        <v>667</v>
      </c>
      <c r="C131" s="638" t="s">
        <v>668</v>
      </c>
      <c r="D131" s="639">
        <f t="shared" si="100"/>
        <v>0</v>
      </c>
      <c r="E131" s="640">
        <f t="shared" si="101"/>
        <v>0</v>
      </c>
      <c r="F131" s="641">
        <v>0</v>
      </c>
      <c r="G131" s="642">
        <v>0</v>
      </c>
      <c r="H131" s="643">
        <v>0</v>
      </c>
      <c r="I131" s="640">
        <f t="shared" si="102"/>
        <v>0</v>
      </c>
      <c r="J131" s="641">
        <v>0</v>
      </c>
      <c r="K131" s="642">
        <v>0</v>
      </c>
      <c r="L131" s="643">
        <v>0</v>
      </c>
      <c r="M131" s="644">
        <v>0</v>
      </c>
      <c r="N131" s="636">
        <f t="shared" si="103"/>
        <v>0</v>
      </c>
      <c r="O131" s="642">
        <v>0</v>
      </c>
      <c r="P131" s="645">
        <v>0</v>
      </c>
      <c r="Q131" s="644">
        <v>0</v>
      </c>
    </row>
    <row r="132" spans="2:17">
      <c r="B132" s="421" t="s">
        <v>669</v>
      </c>
      <c r="C132" s="646" t="s">
        <v>670</v>
      </c>
      <c r="D132" s="647">
        <f t="shared" si="100"/>
        <v>0</v>
      </c>
      <c r="E132" s="648">
        <f t="shared" si="101"/>
        <v>0</v>
      </c>
      <c r="F132" s="649">
        <v>0</v>
      </c>
      <c r="G132" s="650">
        <v>0</v>
      </c>
      <c r="H132" s="651">
        <v>0</v>
      </c>
      <c r="I132" s="648">
        <f t="shared" si="102"/>
        <v>0</v>
      </c>
      <c r="J132" s="649">
        <v>0</v>
      </c>
      <c r="K132" s="650">
        <v>0</v>
      </c>
      <c r="L132" s="651">
        <v>0</v>
      </c>
      <c r="M132" s="652">
        <v>0</v>
      </c>
      <c r="N132" s="636">
        <f t="shared" si="103"/>
        <v>0</v>
      </c>
      <c r="O132" s="650">
        <v>0</v>
      </c>
      <c r="P132" s="653">
        <v>0</v>
      </c>
      <c r="Q132" s="652">
        <v>0</v>
      </c>
    </row>
    <row r="133" spans="2:17">
      <c r="B133" s="695" t="s">
        <v>671</v>
      </c>
      <c r="C133" s="696" t="s">
        <v>672</v>
      </c>
      <c r="D133" s="697">
        <f t="shared" si="100"/>
        <v>100</v>
      </c>
      <c r="E133" s="698">
        <f t="shared" si="101"/>
        <v>27.15999497688804</v>
      </c>
      <c r="F133" s="699">
        <v>1.8586996609547399</v>
      </c>
      <c r="G133" s="700">
        <v>1.7658486952713</v>
      </c>
      <c r="H133" s="701">
        <v>23.535446620662</v>
      </c>
      <c r="I133" s="698">
        <f t="shared" si="102"/>
        <v>72.683442198184935</v>
      </c>
      <c r="J133" s="699">
        <v>39.019014539058396</v>
      </c>
      <c r="K133" s="700">
        <v>32.611540894771998</v>
      </c>
      <c r="L133" s="701">
        <v>1.0528867643545401</v>
      </c>
      <c r="M133" s="702">
        <v>6.6193119721894202E-3</v>
      </c>
      <c r="N133" s="636">
        <f t="shared" si="103"/>
        <v>0.144305712247802</v>
      </c>
      <c r="O133" s="700">
        <v>0.144305712247802</v>
      </c>
      <c r="P133" s="703">
        <v>0</v>
      </c>
      <c r="Q133" s="702">
        <v>5.6378007070367799E-3</v>
      </c>
    </row>
    <row r="134" spans="2:17" ht="25.5">
      <c r="B134" s="704" t="s">
        <v>81</v>
      </c>
      <c r="C134" s="705" t="s">
        <v>673</v>
      </c>
      <c r="D134" s="706">
        <f t="shared" si="100"/>
        <v>100</v>
      </c>
      <c r="E134" s="707">
        <f t="shared" si="101"/>
        <v>25.120655629334774</v>
      </c>
      <c r="F134" s="708">
        <f>IFERROR(F96/$D$96*100, 0)</f>
        <v>6.2326925734403718</v>
      </c>
      <c r="G134" s="709">
        <f>IFERROR(G96/$D$96*100, 0)</f>
        <v>2.0298631907280611</v>
      </c>
      <c r="H134" s="710">
        <f>IFERROR(H96/$D$96*100, 0)</f>
        <v>16.858099865166341</v>
      </c>
      <c r="I134" s="707">
        <f t="shared" si="102"/>
        <v>74.767678918585332</v>
      </c>
      <c r="J134" s="708">
        <f t="shared" ref="J134:Q134" si="104">IFERROR(J96/$D$96*100, 0)</f>
        <v>37.314183742854297</v>
      </c>
      <c r="K134" s="709">
        <f t="shared" si="104"/>
        <v>34.869683985635071</v>
      </c>
      <c r="L134" s="710">
        <f t="shared" si="104"/>
        <v>2.583811190095973</v>
      </c>
      <c r="M134" s="707">
        <f t="shared" si="104"/>
        <v>4.7210981545387862E-3</v>
      </c>
      <c r="N134" s="711">
        <f>SUM(O134:P134)</f>
        <v>0.10292329998115517</v>
      </c>
      <c r="O134" s="709">
        <f t="shared" si="104"/>
        <v>0.10292329998115517</v>
      </c>
      <c r="P134" s="712">
        <f t="shared" si="104"/>
        <v>0</v>
      </c>
      <c r="Q134" s="707">
        <f t="shared" si="104"/>
        <v>4.0210539441979231E-3</v>
      </c>
    </row>
  </sheetData>
  <sheetProtection password="F757"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topLeftCell="A30" workbookViewId="0">
      <selection activeCell="E39" sqref="E39"/>
    </sheetView>
  </sheetViews>
  <sheetFormatPr defaultColWidth="9.140625" defaultRowHeight="15"/>
  <cols>
    <col min="1" max="1" width="9.140625" style="713"/>
    <col min="2" max="2" width="10.42578125" style="714" customWidth="1"/>
    <col min="3" max="3" width="90.42578125" style="714" customWidth="1"/>
    <col min="4" max="4" width="20.28515625" style="714" customWidth="1"/>
    <col min="5" max="5" width="19.85546875" style="715" customWidth="1"/>
    <col min="6" max="6" width="43.140625" style="714" customWidth="1"/>
    <col min="7" max="7" width="11.7109375" style="713" customWidth="1"/>
    <col min="8" max="8" width="38.7109375" style="713" bestFit="1" customWidth="1"/>
    <col min="9" max="16384" width="9.140625" style="713"/>
  </cols>
  <sheetData>
    <row r="1" spans="1:8">
      <c r="A1" s="1388" t="s">
        <v>0</v>
      </c>
      <c r="B1" s="1389"/>
      <c r="C1" s="1389"/>
      <c r="D1" s="1389"/>
      <c r="E1" s="1389"/>
      <c r="F1" s="1390"/>
    </row>
    <row r="2" spans="1:8">
      <c r="A2" s="1388" t="s">
        <v>1</v>
      </c>
      <c r="B2" s="1389"/>
      <c r="C2" s="1389"/>
      <c r="D2" s="1389"/>
      <c r="E2" s="1389"/>
      <c r="F2" s="1390"/>
    </row>
    <row r="3" spans="1:8">
      <c r="A3" s="1391"/>
      <c r="B3" s="1392"/>
      <c r="C3" s="1392"/>
      <c r="D3" s="1392"/>
      <c r="E3" s="1392"/>
      <c r="F3" s="1393"/>
    </row>
    <row r="4" spans="1:8">
      <c r="A4" s="716"/>
      <c r="B4" s="717"/>
      <c r="C4" s="717"/>
      <c r="D4" s="717"/>
      <c r="E4" s="718"/>
      <c r="F4" s="717"/>
    </row>
    <row r="5" spans="1:8">
      <c r="A5" s="1394" t="s">
        <v>674</v>
      </c>
      <c r="B5" s="1395"/>
      <c r="C5" s="1395"/>
      <c r="D5" s="1395"/>
      <c r="E5" s="1395"/>
      <c r="F5" s="1396"/>
    </row>
    <row r="6" spans="1:8">
      <c r="A6" s="716"/>
      <c r="B6" s="717"/>
      <c r="C6" s="717"/>
      <c r="D6" s="717"/>
      <c r="E6" s="718"/>
      <c r="F6" s="717"/>
    </row>
    <row r="8" spans="1:8" ht="15.75" thickBot="1">
      <c r="B8" s="1387" t="s">
        <v>675</v>
      </c>
      <c r="C8" s="1387"/>
      <c r="D8" s="1387"/>
      <c r="E8" s="1387"/>
      <c r="F8" s="1387"/>
    </row>
    <row r="9" spans="1:8" ht="33" customHeight="1" thickBot="1">
      <c r="B9" s="719" t="s">
        <v>4</v>
      </c>
      <c r="C9" s="720" t="s">
        <v>676</v>
      </c>
      <c r="D9" s="721" t="s">
        <v>677</v>
      </c>
      <c r="E9" s="722" t="s">
        <v>49</v>
      </c>
      <c r="F9" s="723" t="s">
        <v>678</v>
      </c>
      <c r="G9" s="724"/>
    </row>
    <row r="10" spans="1:8" ht="25.5">
      <c r="B10" s="725" t="s">
        <v>679</v>
      </c>
      <c r="C10" s="726" t="s">
        <v>680</v>
      </c>
      <c r="D10" s="727" t="s">
        <v>681</v>
      </c>
      <c r="E10" s="728">
        <f>E11+E19</f>
        <v>1777.6399999999999</v>
      </c>
      <c r="F10" s="729" t="s">
        <v>682</v>
      </c>
      <c r="G10" s="724"/>
      <c r="H10" s="730"/>
    </row>
    <row r="11" spans="1:8">
      <c r="B11" s="731" t="s">
        <v>98</v>
      </c>
      <c r="C11" s="732" t="s">
        <v>683</v>
      </c>
      <c r="D11" s="733" t="s">
        <v>681</v>
      </c>
      <c r="E11" s="734">
        <f>SUM(E12:E18)</f>
        <v>103.60000000000001</v>
      </c>
      <c r="F11" s="735" t="s">
        <v>682</v>
      </c>
      <c r="G11" s="724"/>
    </row>
    <row r="12" spans="1:8">
      <c r="B12" s="736" t="s">
        <v>684</v>
      </c>
      <c r="C12" s="737" t="s">
        <v>685</v>
      </c>
      <c r="D12" s="738" t="s">
        <v>681</v>
      </c>
      <c r="E12" s="739">
        <v>1.881</v>
      </c>
      <c r="F12" s="735" t="s">
        <v>682</v>
      </c>
      <c r="G12" s="724"/>
    </row>
    <row r="13" spans="1:8">
      <c r="B13" s="736" t="s">
        <v>686</v>
      </c>
      <c r="C13" s="737" t="s">
        <v>687</v>
      </c>
      <c r="D13" s="738" t="s">
        <v>681</v>
      </c>
      <c r="E13" s="739">
        <v>0.59</v>
      </c>
      <c r="F13" s="735" t="s">
        <v>682</v>
      </c>
      <c r="G13" s="724"/>
    </row>
    <row r="14" spans="1:8">
      <c r="B14" s="736" t="s">
        <v>688</v>
      </c>
      <c r="C14" s="737" t="s">
        <v>689</v>
      </c>
      <c r="D14" s="738" t="s">
        <v>681</v>
      </c>
      <c r="E14" s="739">
        <v>7.8689999999999998</v>
      </c>
      <c r="F14" s="735" t="s">
        <v>682</v>
      </c>
      <c r="G14" s="724"/>
    </row>
    <row r="15" spans="1:8">
      <c r="B15" s="736" t="s">
        <v>690</v>
      </c>
      <c r="C15" s="737" t="s">
        <v>691</v>
      </c>
      <c r="D15" s="738" t="s">
        <v>681</v>
      </c>
      <c r="E15" s="739">
        <v>13.037000000000001</v>
      </c>
      <c r="F15" s="735" t="s">
        <v>682</v>
      </c>
      <c r="G15" s="724"/>
    </row>
    <row r="16" spans="1:8">
      <c r="B16" s="736" t="s">
        <v>692</v>
      </c>
      <c r="C16" s="737" t="s">
        <v>693</v>
      </c>
      <c r="D16" s="738" t="s">
        <v>681</v>
      </c>
      <c r="E16" s="739">
        <v>79.869</v>
      </c>
      <c r="F16" s="735" t="s">
        <v>682</v>
      </c>
      <c r="G16" s="724"/>
    </row>
    <row r="17" spans="2:8">
      <c r="B17" s="736" t="s">
        <v>694</v>
      </c>
      <c r="C17" s="737" t="s">
        <v>695</v>
      </c>
      <c r="D17" s="738" t="s">
        <v>681</v>
      </c>
      <c r="E17" s="739">
        <v>0.35199999999999998</v>
      </c>
      <c r="F17" s="735" t="s">
        <v>682</v>
      </c>
      <c r="G17" s="724"/>
    </row>
    <row r="18" spans="2:8" ht="15.75" thickBot="1">
      <c r="B18" s="736" t="s">
        <v>696</v>
      </c>
      <c r="C18" s="740" t="s">
        <v>697</v>
      </c>
      <c r="D18" s="738" t="s">
        <v>681</v>
      </c>
      <c r="E18" s="741">
        <v>2E-3</v>
      </c>
      <c r="F18" s="742" t="s">
        <v>682</v>
      </c>
      <c r="G18" s="724"/>
    </row>
    <row r="19" spans="2:8" ht="27">
      <c r="B19" s="731" t="s">
        <v>100</v>
      </c>
      <c r="C19" s="743" t="s">
        <v>698</v>
      </c>
      <c r="D19" s="744" t="s">
        <v>681</v>
      </c>
      <c r="E19" s="729">
        <f>SUM(E20:E26)</f>
        <v>1674.04</v>
      </c>
      <c r="F19" s="745" t="s">
        <v>682</v>
      </c>
      <c r="G19" s="724"/>
    </row>
    <row r="20" spans="2:8">
      <c r="B20" s="736" t="s">
        <v>699</v>
      </c>
      <c r="C20" s="737" t="s">
        <v>685</v>
      </c>
      <c r="D20" s="736" t="s">
        <v>681</v>
      </c>
      <c r="E20" s="746">
        <v>622.6</v>
      </c>
      <c r="F20" s="747" t="s">
        <v>682</v>
      </c>
      <c r="G20" s="724"/>
    </row>
    <row r="21" spans="2:8">
      <c r="B21" s="736" t="s">
        <v>700</v>
      </c>
      <c r="C21" s="737" t="s">
        <v>687</v>
      </c>
      <c r="D21" s="736" t="s">
        <v>681</v>
      </c>
      <c r="E21" s="746">
        <v>9.25</v>
      </c>
      <c r="F21" s="747" t="s">
        <v>682</v>
      </c>
      <c r="G21" s="724"/>
    </row>
    <row r="22" spans="2:8">
      <c r="B22" s="736" t="s">
        <v>701</v>
      </c>
      <c r="C22" s="737" t="s">
        <v>689</v>
      </c>
      <c r="D22" s="736" t="s">
        <v>681</v>
      </c>
      <c r="E22" s="746">
        <v>7.29</v>
      </c>
      <c r="F22" s="747" t="s">
        <v>682</v>
      </c>
      <c r="G22" s="724"/>
    </row>
    <row r="23" spans="2:8">
      <c r="B23" s="736" t="s">
        <v>702</v>
      </c>
      <c r="C23" s="737" t="s">
        <v>691</v>
      </c>
      <c r="D23" s="736" t="s">
        <v>681</v>
      </c>
      <c r="E23" s="746">
        <v>268.82</v>
      </c>
      <c r="F23" s="747" t="s">
        <v>682</v>
      </c>
      <c r="G23" s="724"/>
    </row>
    <row r="24" spans="2:8">
      <c r="B24" s="736" t="s">
        <v>703</v>
      </c>
      <c r="C24" s="737" t="s">
        <v>693</v>
      </c>
      <c r="D24" s="736" t="s">
        <v>681</v>
      </c>
      <c r="E24" s="746">
        <v>713.41</v>
      </c>
      <c r="F24" s="747" t="s">
        <v>682</v>
      </c>
      <c r="G24" s="724"/>
    </row>
    <row r="25" spans="2:8">
      <c r="B25" s="736" t="s">
        <v>704</v>
      </c>
      <c r="C25" s="737" t="s">
        <v>695</v>
      </c>
      <c r="D25" s="736" t="s">
        <v>681</v>
      </c>
      <c r="E25" s="746">
        <v>52.67</v>
      </c>
      <c r="F25" s="747" t="s">
        <v>682</v>
      </c>
      <c r="G25" s="724"/>
    </row>
    <row r="26" spans="2:8" ht="15.75" thickBot="1">
      <c r="B26" s="736" t="s">
        <v>705</v>
      </c>
      <c r="C26" s="740" t="s">
        <v>697</v>
      </c>
      <c r="D26" s="748" t="s">
        <v>681</v>
      </c>
      <c r="E26" s="749">
        <v>0</v>
      </c>
      <c r="F26" s="747" t="s">
        <v>682</v>
      </c>
      <c r="G26" s="724"/>
      <c r="H26" s="730"/>
    </row>
    <row r="27" spans="2:8" ht="15.75" thickBot="1">
      <c r="B27" s="750" t="s">
        <v>53</v>
      </c>
      <c r="C27" s="720" t="s">
        <v>706</v>
      </c>
      <c r="D27" s="750" t="s">
        <v>681</v>
      </c>
      <c r="E27" s="751">
        <f>E28+E32+E36+E38</f>
        <v>1791.8</v>
      </c>
      <c r="F27" s="752"/>
      <c r="G27" s="724"/>
    </row>
    <row r="28" spans="2:8">
      <c r="B28" s="725" t="s">
        <v>133</v>
      </c>
      <c r="C28" s="753" t="s">
        <v>707</v>
      </c>
      <c r="D28" s="725" t="s">
        <v>681</v>
      </c>
      <c r="E28" s="754">
        <f>E29+E30+E31</f>
        <v>649.48</v>
      </c>
      <c r="F28" s="745" t="s">
        <v>682</v>
      </c>
      <c r="G28" s="724"/>
    </row>
    <row r="29" spans="2:8">
      <c r="B29" s="731" t="s">
        <v>708</v>
      </c>
      <c r="C29" s="755" t="s">
        <v>685</v>
      </c>
      <c r="D29" s="731" t="s">
        <v>681</v>
      </c>
      <c r="E29" s="756">
        <f>E12+E20</f>
        <v>624.48099999999999</v>
      </c>
      <c r="F29" s="745" t="s">
        <v>682</v>
      </c>
      <c r="G29" s="724"/>
    </row>
    <row r="30" spans="2:8">
      <c r="B30" s="731" t="s">
        <v>709</v>
      </c>
      <c r="C30" s="755" t="s">
        <v>687</v>
      </c>
      <c r="D30" s="731" t="s">
        <v>681</v>
      </c>
      <c r="E30" s="756">
        <f>E13+E21</f>
        <v>9.84</v>
      </c>
      <c r="F30" s="745" t="s">
        <v>682</v>
      </c>
      <c r="G30" s="724"/>
    </row>
    <row r="31" spans="2:8" ht="15.75" thickBot="1">
      <c r="B31" s="757" t="s">
        <v>710</v>
      </c>
      <c r="C31" s="758" t="s">
        <v>689</v>
      </c>
      <c r="D31" s="757" t="s">
        <v>681</v>
      </c>
      <c r="E31" s="756">
        <f t="shared" ref="E31" si="0">E14+E22</f>
        <v>15.158999999999999</v>
      </c>
      <c r="F31" s="759" t="s">
        <v>682</v>
      </c>
    </row>
    <row r="32" spans="2:8" ht="21" customHeight="1">
      <c r="B32" s="725" t="s">
        <v>135</v>
      </c>
      <c r="C32" s="760" t="s">
        <v>711</v>
      </c>
      <c r="D32" s="725" t="s">
        <v>681</v>
      </c>
      <c r="E32" s="754">
        <f>E33+E34+E35</f>
        <v>1128.1579999999999</v>
      </c>
      <c r="F32" s="761" t="s">
        <v>682</v>
      </c>
    </row>
    <row r="33" spans="2:6">
      <c r="B33" s="731" t="s">
        <v>712</v>
      </c>
      <c r="C33" s="755" t="s">
        <v>713</v>
      </c>
      <c r="D33" s="731" t="s">
        <v>681</v>
      </c>
      <c r="E33" s="762">
        <f>E15+E23</f>
        <v>281.85699999999997</v>
      </c>
      <c r="F33" s="747" t="s">
        <v>682</v>
      </c>
    </row>
    <row r="34" spans="2:6">
      <c r="B34" s="731" t="s">
        <v>714</v>
      </c>
      <c r="C34" s="755" t="s">
        <v>693</v>
      </c>
      <c r="D34" s="731" t="s">
        <v>681</v>
      </c>
      <c r="E34" s="762">
        <f t="shared" ref="E34" si="1">E16+E24</f>
        <v>793.279</v>
      </c>
      <c r="F34" s="747" t="s">
        <v>682</v>
      </c>
    </row>
    <row r="35" spans="2:6" ht="15.75" thickBot="1">
      <c r="B35" s="757" t="s">
        <v>715</v>
      </c>
      <c r="C35" s="758" t="s">
        <v>695</v>
      </c>
      <c r="D35" s="757" t="s">
        <v>681</v>
      </c>
      <c r="E35" s="762">
        <f>E17+E25</f>
        <v>53.021999999999998</v>
      </c>
      <c r="F35" s="747" t="s">
        <v>682</v>
      </c>
    </row>
    <row r="36" spans="2:6" ht="15.75" thickBot="1">
      <c r="B36" s="719" t="s">
        <v>137</v>
      </c>
      <c r="C36" s="763" t="s">
        <v>716</v>
      </c>
      <c r="D36" s="719" t="s">
        <v>681</v>
      </c>
      <c r="E36" s="764">
        <f>E18+E26</f>
        <v>2E-3</v>
      </c>
      <c r="F36" s="765" t="s">
        <v>682</v>
      </c>
    </row>
    <row r="37" spans="2:6" ht="15.75" thickBot="1">
      <c r="B37" s="750" t="s">
        <v>717</v>
      </c>
      <c r="C37" s="726" t="s">
        <v>718</v>
      </c>
      <c r="D37" s="750" t="s">
        <v>681</v>
      </c>
      <c r="E37" s="766">
        <v>4.8000000000000001E-2</v>
      </c>
      <c r="F37" s="765" t="s">
        <v>682</v>
      </c>
    </row>
    <row r="38" spans="2:6" ht="15.75" thickBot="1">
      <c r="B38" s="719" t="s">
        <v>719</v>
      </c>
      <c r="C38" s="767" t="s">
        <v>720</v>
      </c>
      <c r="D38" s="719" t="s">
        <v>681</v>
      </c>
      <c r="E38" s="768">
        <v>14.16</v>
      </c>
      <c r="F38" s="765" t="s">
        <v>721</v>
      </c>
    </row>
    <row r="39" spans="2:6" ht="15.75" thickBot="1">
      <c r="B39" s="769" t="s">
        <v>59</v>
      </c>
      <c r="C39" s="770" t="s">
        <v>722</v>
      </c>
      <c r="D39" s="769" t="s">
        <v>681</v>
      </c>
      <c r="E39" s="771">
        <v>2E-3</v>
      </c>
      <c r="F39" s="772"/>
    </row>
    <row r="40" spans="2:6" ht="15.75" thickBot="1">
      <c r="B40" s="769" t="s">
        <v>63</v>
      </c>
      <c r="C40" s="770" t="s">
        <v>723</v>
      </c>
      <c r="D40" s="769" t="s">
        <v>681</v>
      </c>
      <c r="E40" s="771">
        <v>0</v>
      </c>
      <c r="F40" s="773"/>
    </row>
    <row r="41" spans="2:6" ht="15.75" thickBot="1">
      <c r="B41" s="769" t="s">
        <v>77</v>
      </c>
      <c r="C41" s="770" t="s">
        <v>724</v>
      </c>
      <c r="D41" s="769" t="s">
        <v>681</v>
      </c>
      <c r="E41" s="774">
        <f>E27+E37+E39-E40</f>
        <v>1791.85</v>
      </c>
      <c r="F41" s="773"/>
    </row>
    <row r="42" spans="2:6" ht="15.75" thickBot="1">
      <c r="B42" s="769" t="s">
        <v>79</v>
      </c>
      <c r="C42" s="775" t="s">
        <v>725</v>
      </c>
      <c r="D42" s="763"/>
      <c r="E42" s="776"/>
      <c r="F42" s="777"/>
    </row>
    <row r="43" spans="2:6" s="4" customFormat="1">
      <c r="B43" s="725" t="s">
        <v>726</v>
      </c>
      <c r="C43" s="753" t="s">
        <v>727</v>
      </c>
      <c r="D43" s="725" t="s">
        <v>728</v>
      </c>
      <c r="E43" s="778">
        <f>IF((E44+E45)=0,"0",(((E20+E22)*100)/E46)/(E44+E45+E48))</f>
        <v>0.73368603004211852</v>
      </c>
      <c r="F43" s="729"/>
    </row>
    <row r="44" spans="2:6">
      <c r="B44" s="731" t="s">
        <v>729</v>
      </c>
      <c r="C44" s="755" t="s">
        <v>730</v>
      </c>
      <c r="D44" s="779" t="s">
        <v>731</v>
      </c>
      <c r="E44" s="756">
        <f>VAS078_F_Vidutinissvert1AtaskaitinisLaikotarpis</f>
        <v>39.6</v>
      </c>
      <c r="F44" s="756" t="s">
        <v>732</v>
      </c>
    </row>
    <row r="45" spans="2:6">
      <c r="B45" s="757" t="s">
        <v>733</v>
      </c>
      <c r="C45" s="758" t="s">
        <v>734</v>
      </c>
      <c r="D45" s="780" t="s">
        <v>731</v>
      </c>
      <c r="E45" s="781">
        <f>VAS078_F_Vidutinissvert3AtaskaitinisLaikotarpis</f>
        <v>39.6</v>
      </c>
      <c r="F45" s="781" t="s">
        <v>732</v>
      </c>
    </row>
    <row r="46" spans="2:6" ht="15.75" thickBot="1">
      <c r="B46" s="731" t="s">
        <v>735</v>
      </c>
      <c r="C46" s="755" t="s">
        <v>736</v>
      </c>
      <c r="D46" s="731" t="s">
        <v>737</v>
      </c>
      <c r="E46" s="756">
        <f>VAS077_F_Patiektogeriam1AtaskaitinisLaikotarpis</f>
        <v>1084</v>
      </c>
      <c r="F46" s="756" t="s">
        <v>738</v>
      </c>
    </row>
    <row r="47" spans="2:6" s="4" customFormat="1">
      <c r="B47" s="725" t="s">
        <v>739</v>
      </c>
      <c r="C47" s="753" t="s">
        <v>740</v>
      </c>
      <c r="D47" s="725" t="s">
        <v>741</v>
      </c>
      <c r="E47" s="778" t="str">
        <f>IF(E48=0,"0",E21/E49)</f>
        <v>0</v>
      </c>
      <c r="F47" s="729"/>
    </row>
    <row r="48" spans="2:6">
      <c r="B48" s="731" t="s">
        <v>742</v>
      </c>
      <c r="C48" s="755" t="s">
        <v>743</v>
      </c>
      <c r="D48" s="779" t="s">
        <v>731</v>
      </c>
      <c r="E48" s="756">
        <f>VAS078_F_Vidutinissvert2AtaskaitinisLaikotarpis</f>
        <v>0</v>
      </c>
      <c r="F48" s="756" t="s">
        <v>732</v>
      </c>
    </row>
    <row r="49" spans="2:6" ht="15.75" thickBot="1">
      <c r="B49" s="731" t="s">
        <v>744</v>
      </c>
      <c r="C49" s="755" t="s">
        <v>745</v>
      </c>
      <c r="D49" s="731" t="s">
        <v>737</v>
      </c>
      <c r="E49" s="756">
        <f>VAS077_F_Paruostogeriam1AtaskaitinisLaikotarpis</f>
        <v>375</v>
      </c>
      <c r="F49" s="756" t="s">
        <v>738</v>
      </c>
    </row>
    <row r="50" spans="2:6" s="4" customFormat="1">
      <c r="B50" s="725" t="s">
        <v>746</v>
      </c>
      <c r="C50" s="753" t="s">
        <v>747</v>
      </c>
      <c r="D50" s="725" t="s">
        <v>728</v>
      </c>
      <c r="E50" s="778">
        <f>IF(E51=0,"0",((E23*100)/E53)/E51)</f>
        <v>1.7735465653286888</v>
      </c>
      <c r="F50" s="729"/>
    </row>
    <row r="51" spans="2:6">
      <c r="B51" s="731" t="s">
        <v>748</v>
      </c>
      <c r="C51" s="755" t="s">
        <v>749</v>
      </c>
      <c r="D51" s="779" t="s">
        <v>731</v>
      </c>
      <c r="E51" s="756">
        <f>VAS078_F_Vidutinissvert4AtaskaitinisLaikotarpis</f>
        <v>10.199999999999999</v>
      </c>
      <c r="F51" s="756" t="s">
        <v>732</v>
      </c>
    </row>
    <row r="52" spans="2:6">
      <c r="B52" s="731" t="s">
        <v>750</v>
      </c>
      <c r="C52" s="755" t="s">
        <v>751</v>
      </c>
      <c r="D52" s="731" t="s">
        <v>737</v>
      </c>
      <c r="E52" s="756">
        <f>VAS077_F_Surinktabuitin1AtaskaitinisLaikotarpis</f>
        <v>1489.3</v>
      </c>
      <c r="F52" s="756" t="s">
        <v>738</v>
      </c>
    </row>
    <row r="53" spans="2:6" s="4" customFormat="1" ht="15.75" thickBot="1">
      <c r="B53" s="731" t="s">
        <v>752</v>
      </c>
      <c r="C53" s="755" t="s">
        <v>753</v>
      </c>
      <c r="D53" s="731" t="s">
        <v>737</v>
      </c>
      <c r="E53" s="756">
        <f>VAS077_F_Perpumpuotasbu1AtaskaitinisLaikotarpis</f>
        <v>1486</v>
      </c>
      <c r="F53" s="756" t="s">
        <v>738</v>
      </c>
    </row>
    <row r="54" spans="2:6" s="4" customFormat="1">
      <c r="B54" s="725" t="s">
        <v>754</v>
      </c>
      <c r="C54" s="753" t="s">
        <v>755</v>
      </c>
      <c r="D54" s="725" t="s">
        <v>756</v>
      </c>
      <c r="E54" s="778">
        <f>IF(E55=0,"0",((E24*1000)/E55))</f>
        <v>2113.0291239988023</v>
      </c>
      <c r="F54" s="729"/>
    </row>
    <row r="55" spans="2:6" ht="15.75" thickBot="1">
      <c r="B55" s="731" t="s">
        <v>757</v>
      </c>
      <c r="C55" s="755" t="s">
        <v>758</v>
      </c>
      <c r="D55" s="779" t="s">
        <v>759</v>
      </c>
      <c r="E55" s="756">
        <f>VAS078_F_Pagalbiochemin3AtaskaitinisLaikotarpis</f>
        <v>337.62430999999998</v>
      </c>
      <c r="F55" s="756" t="s">
        <v>732</v>
      </c>
    </row>
    <row r="56" spans="2:6">
      <c r="B56" s="725" t="s">
        <v>760</v>
      </c>
      <c r="C56" s="753" t="s">
        <v>761</v>
      </c>
      <c r="D56" s="725" t="s">
        <v>762</v>
      </c>
      <c r="E56" s="729">
        <f>IFERROR(E57/(E27-E40), 0)</f>
        <v>9.8700220101618497E-2</v>
      </c>
      <c r="F56" s="729"/>
    </row>
    <row r="57" spans="2:6" ht="15.75" thickBot="1">
      <c r="B57" s="782" t="s">
        <v>763</v>
      </c>
      <c r="C57" s="783" t="s">
        <v>764</v>
      </c>
      <c r="D57" s="784" t="s">
        <v>765</v>
      </c>
      <c r="E57" s="785">
        <f>VAS073_F_Elektrosenergi13IsViso+VAS073_F_Elektrosenergi14IsViso+VAS073_F_Elektrosenergi15PavirsiniuNuoteku</f>
        <v>176.85105437808002</v>
      </c>
      <c r="F57" s="785" t="s">
        <v>145</v>
      </c>
    </row>
    <row r="59" spans="2:6">
      <c r="C59" s="786" t="s">
        <v>766</v>
      </c>
      <c r="E59" s="787"/>
    </row>
    <row r="60" spans="2:6">
      <c r="E60" s="787"/>
    </row>
    <row r="61" spans="2:6">
      <c r="E61" s="787"/>
    </row>
    <row r="62" spans="2:6">
      <c r="E62" s="787"/>
    </row>
  </sheetData>
  <sheetProtection password="F757" sheet="1" objects="1" scenarios="1"/>
  <mergeCells count="5">
    <mergeCell ref="B8:F8"/>
    <mergeCell ref="A1:F1"/>
    <mergeCell ref="A2:F2"/>
    <mergeCell ref="A3:F3"/>
    <mergeCell ref="A5:F5"/>
  </mergeCells>
  <pageMargins left="0.7" right="0.7"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2"/>
  <sheetViews>
    <sheetView topLeftCell="A7" workbookViewId="0">
      <selection activeCell="F22" sqref="F22"/>
    </sheetView>
  </sheetViews>
  <sheetFormatPr defaultColWidth="9.140625" defaultRowHeight="15"/>
  <cols>
    <col min="1" max="1" width="9.140625" style="788"/>
    <col min="2" max="2" width="6.7109375" style="788" customWidth="1"/>
    <col min="3" max="3" width="88.5703125" style="788" customWidth="1"/>
    <col min="4" max="4" width="17.28515625" style="788" customWidth="1"/>
    <col min="5" max="6" width="24" style="788" customWidth="1"/>
    <col min="7" max="7" width="29.140625" style="788" customWidth="1"/>
    <col min="8" max="8" width="23.140625" style="788" customWidth="1"/>
    <col min="9" max="16384" width="9.140625" style="788"/>
  </cols>
  <sheetData>
    <row r="1" spans="1:12">
      <c r="A1" s="1415" t="s">
        <v>0</v>
      </c>
      <c r="B1" s="1416"/>
      <c r="C1" s="1416"/>
      <c r="D1" s="1416"/>
      <c r="E1" s="1416"/>
      <c r="F1" s="1416"/>
      <c r="G1" s="1416"/>
      <c r="H1" s="1416"/>
      <c r="I1" s="1416"/>
      <c r="J1" s="1416"/>
      <c r="K1" s="1417"/>
    </row>
    <row r="2" spans="1:12">
      <c r="A2" s="1415" t="s">
        <v>1</v>
      </c>
      <c r="B2" s="1416"/>
      <c r="C2" s="1416"/>
      <c r="D2" s="1416"/>
      <c r="E2" s="1416"/>
      <c r="F2" s="1416"/>
      <c r="G2" s="1416"/>
      <c r="H2" s="1416"/>
      <c r="I2" s="1416"/>
      <c r="J2" s="1416"/>
      <c r="K2" s="1417"/>
    </row>
    <row r="3" spans="1:12">
      <c r="A3" s="1418"/>
      <c r="B3" s="1419"/>
      <c r="C3" s="1419"/>
      <c r="D3" s="1419"/>
      <c r="E3" s="1419"/>
      <c r="F3" s="1419"/>
      <c r="G3" s="1419"/>
      <c r="H3" s="1419"/>
      <c r="I3" s="1419"/>
      <c r="J3" s="1419"/>
      <c r="K3" s="1420"/>
    </row>
    <row r="4" spans="1:12">
      <c r="A4" s="789"/>
      <c r="B4" s="789"/>
      <c r="C4" s="789"/>
      <c r="D4" s="789"/>
      <c r="E4" s="789"/>
      <c r="F4" s="789"/>
      <c r="G4" s="789"/>
      <c r="H4" s="789"/>
      <c r="I4" s="789"/>
      <c r="J4" s="789"/>
      <c r="K4" s="789"/>
    </row>
    <row r="5" spans="1:12">
      <c r="A5" s="1421" t="s">
        <v>767</v>
      </c>
      <c r="B5" s="1422"/>
      <c r="C5" s="1422"/>
      <c r="D5" s="1422"/>
      <c r="E5" s="1422"/>
      <c r="F5" s="1422"/>
      <c r="G5" s="1422"/>
      <c r="H5" s="1422"/>
      <c r="I5" s="1422"/>
      <c r="J5" s="1422"/>
      <c r="K5" s="1423"/>
    </row>
    <row r="6" spans="1:12">
      <c r="A6" s="789"/>
      <c r="B6" s="789"/>
      <c r="C6" s="789"/>
      <c r="D6" s="789"/>
      <c r="E6" s="789"/>
      <c r="F6" s="789"/>
      <c r="G6" s="789"/>
      <c r="H6" s="789"/>
      <c r="I6" s="789"/>
      <c r="J6" s="789"/>
      <c r="K6" s="789"/>
    </row>
    <row r="8" spans="1:12" ht="15" customHeight="1" thickBot="1">
      <c r="B8" s="1334" t="s">
        <v>768</v>
      </c>
      <c r="C8" s="1334"/>
      <c r="D8" s="1334"/>
      <c r="E8" s="1334"/>
      <c r="F8" s="1334"/>
      <c r="G8" s="1334"/>
    </row>
    <row r="9" spans="1:12" ht="21" customHeight="1" thickBot="1">
      <c r="B9" s="790" t="s">
        <v>4</v>
      </c>
      <c r="C9" s="790" t="s">
        <v>676</v>
      </c>
      <c r="D9" s="791" t="s">
        <v>677</v>
      </c>
      <c r="E9" s="1401" t="s">
        <v>49</v>
      </c>
      <c r="F9" s="1402"/>
      <c r="G9" s="792" t="s">
        <v>678</v>
      </c>
      <c r="H9" s="793"/>
    </row>
    <row r="10" spans="1:12" ht="29.25" customHeight="1" thickBot="1">
      <c r="B10" s="794"/>
      <c r="C10" s="794"/>
      <c r="D10" s="795"/>
      <c r="E10" s="796" t="s">
        <v>769</v>
      </c>
      <c r="F10" s="796" t="s">
        <v>770</v>
      </c>
      <c r="G10" s="797"/>
      <c r="H10" s="793"/>
    </row>
    <row r="11" spans="1:12" ht="15.75" thickBot="1">
      <c r="B11" s="790" t="s">
        <v>679</v>
      </c>
      <c r="C11" s="790" t="s">
        <v>771</v>
      </c>
      <c r="D11" s="790" t="s">
        <v>772</v>
      </c>
      <c r="E11" s="798">
        <f>E12+E26</f>
        <v>50.55</v>
      </c>
      <c r="F11" s="798">
        <f>F12+F26</f>
        <v>52.68</v>
      </c>
      <c r="G11" s="792"/>
      <c r="H11" s="793"/>
    </row>
    <row r="12" spans="1:12" ht="15.75" thickBot="1">
      <c r="B12" s="799" t="s">
        <v>773</v>
      </c>
      <c r="C12" s="799" t="s">
        <v>774</v>
      </c>
      <c r="D12" s="799" t="s">
        <v>772</v>
      </c>
      <c r="E12" s="800">
        <f>E14+E18+E22+E23+E24+E25</f>
        <v>50.07</v>
      </c>
      <c r="F12" s="800">
        <f>F14+F18+F22+F23+F24+F25</f>
        <v>52.18</v>
      </c>
      <c r="G12" s="801"/>
      <c r="H12" s="802"/>
    </row>
    <row r="13" spans="1:12" ht="15.75" thickBot="1">
      <c r="B13" s="803" t="s">
        <v>775</v>
      </c>
      <c r="C13" s="803" t="s">
        <v>776</v>
      </c>
      <c r="D13" s="803" t="s">
        <v>772</v>
      </c>
      <c r="E13" s="804">
        <f>E14+E18+E23+E22</f>
        <v>34.940000000000005</v>
      </c>
      <c r="F13" s="804">
        <f>F14+F18+F23+F22</f>
        <v>36.31</v>
      </c>
      <c r="G13" s="805"/>
      <c r="H13" s="793"/>
    </row>
    <row r="14" spans="1:12" ht="18.75" customHeight="1">
      <c r="B14" s="806" t="s">
        <v>133</v>
      </c>
      <c r="C14" s="806" t="s">
        <v>707</v>
      </c>
      <c r="D14" s="807" t="s">
        <v>772</v>
      </c>
      <c r="E14" s="808">
        <f>SUM(E15:E17)</f>
        <v>9.2099999999999991</v>
      </c>
      <c r="F14" s="808">
        <f>SUM(F15:F17)</f>
        <v>10</v>
      </c>
      <c r="G14" s="809"/>
      <c r="H14" s="793"/>
    </row>
    <row r="15" spans="1:12">
      <c r="B15" s="810" t="s">
        <v>708</v>
      </c>
      <c r="C15" s="811" t="s">
        <v>685</v>
      </c>
      <c r="D15" s="810" t="s">
        <v>772</v>
      </c>
      <c r="E15" s="812">
        <v>1.71</v>
      </c>
      <c r="F15" s="812">
        <v>2</v>
      </c>
      <c r="G15" s="813"/>
      <c r="H15" s="793"/>
    </row>
    <row r="16" spans="1:12">
      <c r="B16" s="810" t="s">
        <v>709</v>
      </c>
      <c r="C16" s="811" t="s">
        <v>687</v>
      </c>
      <c r="D16" s="810" t="s">
        <v>772</v>
      </c>
      <c r="E16" s="812">
        <v>0.98</v>
      </c>
      <c r="F16" s="812">
        <v>1</v>
      </c>
      <c r="G16" s="813"/>
      <c r="H16" s="793"/>
      <c r="L16" s="814"/>
    </row>
    <row r="17" spans="2:7" ht="15.75" thickBot="1">
      <c r="B17" s="815" t="s">
        <v>710</v>
      </c>
      <c r="C17" s="816" t="s">
        <v>689</v>
      </c>
      <c r="D17" s="815" t="s">
        <v>772</v>
      </c>
      <c r="E17" s="817">
        <v>6.52</v>
      </c>
      <c r="F17" s="817">
        <v>7</v>
      </c>
      <c r="G17" s="818"/>
    </row>
    <row r="18" spans="2:7" ht="23.25" customHeight="1">
      <c r="B18" s="819" t="s">
        <v>135</v>
      </c>
      <c r="C18" s="819" t="s">
        <v>711</v>
      </c>
      <c r="D18" s="820" t="s">
        <v>772</v>
      </c>
      <c r="E18" s="821">
        <f>SUM(E19:E21)</f>
        <v>17.07</v>
      </c>
      <c r="F18" s="821">
        <f>SUM(F19:F21)</f>
        <v>17.309999999999999</v>
      </c>
      <c r="G18" s="822"/>
    </row>
    <row r="19" spans="2:7">
      <c r="B19" s="810" t="s">
        <v>712</v>
      </c>
      <c r="C19" s="811" t="s">
        <v>713</v>
      </c>
      <c r="D19" s="810" t="s">
        <v>772</v>
      </c>
      <c r="E19" s="812">
        <v>7.43</v>
      </c>
      <c r="F19" s="812">
        <v>7.71</v>
      </c>
      <c r="G19" s="813"/>
    </row>
    <row r="20" spans="2:7">
      <c r="B20" s="810" t="s">
        <v>714</v>
      </c>
      <c r="C20" s="811" t="s">
        <v>693</v>
      </c>
      <c r="D20" s="810" t="s">
        <v>772</v>
      </c>
      <c r="E20" s="812">
        <v>7.63</v>
      </c>
      <c r="F20" s="812">
        <v>7.6</v>
      </c>
      <c r="G20" s="813"/>
    </row>
    <row r="21" spans="2:7" ht="15.75" thickBot="1">
      <c r="B21" s="810" t="s">
        <v>715</v>
      </c>
      <c r="C21" s="811" t="s">
        <v>695</v>
      </c>
      <c r="D21" s="810" t="s">
        <v>772</v>
      </c>
      <c r="E21" s="812">
        <v>2.0099999999999998</v>
      </c>
      <c r="F21" s="812">
        <v>2</v>
      </c>
      <c r="G21" s="813"/>
    </row>
    <row r="22" spans="2:7" ht="15.75" thickBot="1">
      <c r="B22" s="823" t="s">
        <v>137</v>
      </c>
      <c r="C22" s="823" t="s">
        <v>716</v>
      </c>
      <c r="D22" s="824" t="s">
        <v>772</v>
      </c>
      <c r="E22" s="825">
        <v>0.99</v>
      </c>
      <c r="F22" s="825">
        <v>1</v>
      </c>
      <c r="G22" s="792"/>
    </row>
    <row r="23" spans="2:7" ht="15.75" thickBot="1">
      <c r="B23" s="823" t="s">
        <v>717</v>
      </c>
      <c r="C23" s="826" t="s">
        <v>718</v>
      </c>
      <c r="D23" s="823" t="s">
        <v>772</v>
      </c>
      <c r="E23" s="825">
        <v>7.67</v>
      </c>
      <c r="F23" s="825">
        <v>8</v>
      </c>
      <c r="G23" s="792"/>
    </row>
    <row r="24" spans="2:7" ht="15.75" thickBot="1">
      <c r="B24" s="790" t="s">
        <v>777</v>
      </c>
      <c r="C24" s="790" t="s">
        <v>778</v>
      </c>
      <c r="D24" s="790" t="s">
        <v>772</v>
      </c>
      <c r="E24" s="825">
        <v>3.99</v>
      </c>
      <c r="F24" s="825">
        <v>4.08</v>
      </c>
      <c r="G24" s="792"/>
    </row>
    <row r="25" spans="2:7" ht="15.75" thickBot="1">
      <c r="B25" s="790" t="s">
        <v>298</v>
      </c>
      <c r="C25" s="827" t="s">
        <v>779</v>
      </c>
      <c r="D25" s="790" t="s">
        <v>772</v>
      </c>
      <c r="E25" s="825">
        <v>11.14</v>
      </c>
      <c r="F25" s="825">
        <v>11.79</v>
      </c>
      <c r="G25" s="792"/>
    </row>
    <row r="26" spans="2:7" ht="15.75" thickBot="1">
      <c r="B26" s="803" t="s">
        <v>780</v>
      </c>
      <c r="C26" s="803" t="s">
        <v>781</v>
      </c>
      <c r="D26" s="803" t="s">
        <v>772</v>
      </c>
      <c r="E26" s="828">
        <v>0.48</v>
      </c>
      <c r="F26" s="828">
        <v>0.5</v>
      </c>
      <c r="G26" s="805"/>
    </row>
    <row r="27" spans="2:7" ht="17.25" customHeight="1" thickBot="1">
      <c r="B27" s="790" t="s">
        <v>782</v>
      </c>
      <c r="C27" s="829" t="s">
        <v>783</v>
      </c>
      <c r="D27" s="829"/>
      <c r="E27" s="830"/>
      <c r="F27" s="830"/>
      <c r="G27" s="831"/>
    </row>
    <row r="28" spans="2:7">
      <c r="B28" s="832" t="s">
        <v>784</v>
      </c>
      <c r="C28" s="832" t="s">
        <v>785</v>
      </c>
      <c r="D28" s="832" t="s">
        <v>786</v>
      </c>
      <c r="E28" s="1403">
        <f>IFERROR(E29/E14/12*1000, 0)</f>
        <v>1480.7974122330802</v>
      </c>
      <c r="F28" s="1404"/>
      <c r="G28" s="833"/>
    </row>
    <row r="29" spans="2:7">
      <c r="B29" s="834" t="s">
        <v>787</v>
      </c>
      <c r="C29" s="835" t="s">
        <v>788</v>
      </c>
      <c r="D29" s="834" t="s">
        <v>765</v>
      </c>
      <c r="E29" s="1405">
        <f>VAS073_F_Darbouzmokesci23IsViso</f>
        <v>163.65773000000002</v>
      </c>
      <c r="F29" s="1406"/>
      <c r="G29" s="836" t="s">
        <v>145</v>
      </c>
    </row>
    <row r="30" spans="2:7">
      <c r="B30" s="819" t="s">
        <v>69</v>
      </c>
      <c r="C30" s="807" t="s">
        <v>789</v>
      </c>
      <c r="D30" s="807" t="s">
        <v>786</v>
      </c>
      <c r="E30" s="1407">
        <f>IFERROR(E31/E18/12*1000, 0)</f>
        <v>1308.3578402655733</v>
      </c>
      <c r="F30" s="1408"/>
      <c r="G30" s="837"/>
    </row>
    <row r="31" spans="2:7" ht="15.75" thickBot="1">
      <c r="B31" s="838" t="s">
        <v>574</v>
      </c>
      <c r="C31" s="835" t="s">
        <v>790</v>
      </c>
      <c r="D31" s="834" t="s">
        <v>765</v>
      </c>
      <c r="E31" s="1409">
        <f>VAS073_F_Darbouzmokesci24IsViso</f>
        <v>268.00402000000003</v>
      </c>
      <c r="F31" s="1410"/>
      <c r="G31" s="836" t="s">
        <v>145</v>
      </c>
    </row>
    <row r="32" spans="2:7">
      <c r="B32" s="803" t="s">
        <v>71</v>
      </c>
      <c r="C32" s="839" t="s">
        <v>791</v>
      </c>
      <c r="D32" s="807" t="s">
        <v>786</v>
      </c>
      <c r="E32" s="1411">
        <f>IFERROR(E33/E22/12*1000, 0)</f>
        <v>1554.7314814814818</v>
      </c>
      <c r="F32" s="1412"/>
      <c r="G32" s="837"/>
    </row>
    <row r="33" spans="2:11" ht="15.75" thickBot="1">
      <c r="B33" s="838" t="s">
        <v>792</v>
      </c>
      <c r="C33" s="835" t="s">
        <v>793</v>
      </c>
      <c r="D33" s="834" t="s">
        <v>765</v>
      </c>
      <c r="E33" s="1409">
        <f>VAS073_F_Darbouzmokesci25PavirsiniuNuoteku</f>
        <v>18.470210000000002</v>
      </c>
      <c r="F33" s="1410"/>
      <c r="G33" s="836" t="s">
        <v>145</v>
      </c>
    </row>
    <row r="34" spans="2:11">
      <c r="B34" s="807" t="s">
        <v>73</v>
      </c>
      <c r="C34" s="840" t="s">
        <v>794</v>
      </c>
      <c r="D34" s="803" t="s">
        <v>786</v>
      </c>
      <c r="E34" s="1403">
        <f>IFERROR(E35/E23/12*1000, 0)</f>
        <v>974.05443285528042</v>
      </c>
      <c r="F34" s="1404"/>
      <c r="G34" s="841"/>
    </row>
    <row r="35" spans="2:11" ht="15.75" thickBot="1">
      <c r="B35" s="838" t="s">
        <v>795</v>
      </c>
      <c r="C35" s="835" t="s">
        <v>796</v>
      </c>
      <c r="D35" s="834" t="s">
        <v>765</v>
      </c>
      <c r="E35" s="1409">
        <f>VAS073_F_Darbouzmokesci2Apskaitosveikla1</f>
        <v>89.651970000000006</v>
      </c>
      <c r="F35" s="1410"/>
      <c r="G35" s="836" t="s">
        <v>145</v>
      </c>
    </row>
    <row r="36" spans="2:11">
      <c r="B36" s="807" t="s">
        <v>75</v>
      </c>
      <c r="C36" s="820" t="s">
        <v>797</v>
      </c>
      <c r="D36" s="807" t="s">
        <v>786</v>
      </c>
      <c r="E36" s="1403">
        <f>IFERROR(E37/E24/12*1000, 0)</f>
        <v>1153.5036386571426</v>
      </c>
      <c r="F36" s="1404"/>
      <c r="G36" s="837"/>
    </row>
    <row r="37" spans="2:11" ht="15.75" thickBot="1">
      <c r="B37" s="838" t="s">
        <v>798</v>
      </c>
      <c r="C37" s="835" t="s">
        <v>799</v>
      </c>
      <c r="D37" s="834" t="s">
        <v>765</v>
      </c>
      <c r="E37" s="1409">
        <f>VAS073_F_Darbouzmokesci33IsViso+VAS073_F_Darbouzmokesci34IsViso+VAS073_F_Darbouzmokesci35PavirsiniuNuoteku+VAS073_F_Darbouzmokesci3Apskaitosveikla1</f>
        <v>55.229754218903999</v>
      </c>
      <c r="F37" s="1410"/>
      <c r="G37" s="836" t="s">
        <v>145</v>
      </c>
    </row>
    <row r="38" spans="2:11">
      <c r="B38" s="807" t="s">
        <v>460</v>
      </c>
      <c r="C38" s="820" t="s">
        <v>800</v>
      </c>
      <c r="D38" s="807" t="s">
        <v>786</v>
      </c>
      <c r="E38" s="1403">
        <f>IFERROR(E39/E25/12*1000, 0)</f>
        <v>1926.1172328879788</v>
      </c>
      <c r="F38" s="1404"/>
      <c r="G38" s="837"/>
    </row>
    <row r="39" spans="2:11" ht="15.75" thickBot="1">
      <c r="B39" s="838" t="s">
        <v>801</v>
      </c>
      <c r="C39" s="835" t="s">
        <v>802</v>
      </c>
      <c r="D39" s="834" t="s">
        <v>765</v>
      </c>
      <c r="E39" s="1409">
        <f>VAS073_F_Darbouzmokesci53IsViso+VAS073_F_Darbouzmokesci54IsViso+VAS073_F_Darbouzmokesci55PavirsiniuNuoteku+VAS073_F_Darbouzmokesci5Apskaitosveikla1</f>
        <v>257.48335169246502</v>
      </c>
      <c r="F39" s="1410"/>
      <c r="G39" s="836" t="s">
        <v>145</v>
      </c>
    </row>
    <row r="40" spans="2:11" ht="15.75" thickBot="1">
      <c r="B40" s="842" t="s">
        <v>464</v>
      </c>
      <c r="C40" s="843" t="s">
        <v>803</v>
      </c>
      <c r="D40" s="844" t="s">
        <v>786</v>
      </c>
      <c r="E40" s="1413">
        <f>IFERROR((E29+E31+E33+E35+E37+E39)/E12/12*1000, 0)</f>
        <v>1418.8420143655035</v>
      </c>
      <c r="F40" s="1414"/>
      <c r="G40" s="845"/>
    </row>
    <row r="41" spans="2:11" ht="26.25" thickBot="1">
      <c r="B41" s="790" t="s">
        <v>468</v>
      </c>
      <c r="C41" s="846" t="s">
        <v>804</v>
      </c>
      <c r="D41" s="790" t="s">
        <v>772</v>
      </c>
      <c r="E41" s="1397">
        <f>IFERROR((E13+E24)/E25, 0)</f>
        <v>3.4946140035906645</v>
      </c>
      <c r="F41" s="1398"/>
      <c r="G41" s="792"/>
    </row>
    <row r="42" spans="2:11">
      <c r="C42" s="793"/>
    </row>
    <row r="43" spans="2:11">
      <c r="C43" s="847" t="s">
        <v>766</v>
      </c>
    </row>
    <row r="44" spans="2:11">
      <c r="E44" s="848"/>
      <c r="F44" s="848"/>
    </row>
    <row r="45" spans="2:11">
      <c r="C45" s="1399" t="s">
        <v>805</v>
      </c>
      <c r="D45" s="1399"/>
      <c r="E45" s="849"/>
      <c r="F45" s="849"/>
      <c r="G45" s="849"/>
      <c r="H45" s="849"/>
      <c r="I45" s="849"/>
      <c r="J45" s="849"/>
      <c r="K45" s="849"/>
    </row>
    <row r="46" spans="2:11">
      <c r="C46" s="1400" t="s">
        <v>806</v>
      </c>
      <c r="D46" s="1400"/>
      <c r="E46" s="1400"/>
      <c r="F46" s="1400"/>
      <c r="G46" s="1400"/>
      <c r="H46" s="1400"/>
      <c r="I46" s="1400"/>
      <c r="J46" s="1400"/>
      <c r="K46" s="1400"/>
    </row>
    <row r="47" spans="2:11">
      <c r="C47" s="1400"/>
      <c r="D47" s="1400"/>
      <c r="E47" s="1400"/>
      <c r="F47" s="1400"/>
      <c r="G47" s="1400"/>
      <c r="H47" s="1400"/>
      <c r="I47" s="1400"/>
      <c r="J47" s="1400"/>
      <c r="K47" s="1400"/>
    </row>
    <row r="48" spans="2:11">
      <c r="C48" s="1400"/>
      <c r="D48" s="1400"/>
      <c r="E48" s="1400"/>
      <c r="F48" s="1400"/>
      <c r="G48" s="1400"/>
      <c r="H48" s="1400"/>
      <c r="I48" s="1400"/>
      <c r="J48" s="1400"/>
      <c r="K48" s="1400"/>
    </row>
    <row r="49" spans="3:11">
      <c r="C49" s="1400"/>
      <c r="D49" s="1400"/>
      <c r="E49" s="1400"/>
      <c r="F49" s="1400"/>
      <c r="G49" s="1400"/>
      <c r="H49" s="1400"/>
      <c r="I49" s="1400"/>
      <c r="J49" s="1400"/>
      <c r="K49" s="1400"/>
    </row>
    <row r="50" spans="3:11">
      <c r="C50" s="1400"/>
      <c r="D50" s="1400"/>
      <c r="E50" s="1400"/>
      <c r="F50" s="1400"/>
      <c r="G50" s="1400"/>
      <c r="H50" s="1400"/>
      <c r="I50" s="1400"/>
      <c r="J50" s="1400"/>
      <c r="K50" s="1400"/>
    </row>
    <row r="51" spans="3:11">
      <c r="C51" s="1400"/>
      <c r="D51" s="1400"/>
      <c r="E51" s="1400"/>
      <c r="F51" s="1400"/>
      <c r="G51" s="1400"/>
      <c r="H51" s="1400"/>
      <c r="I51" s="1400"/>
      <c r="J51" s="1400"/>
      <c r="K51" s="1400"/>
    </row>
    <row r="52" spans="3:11" ht="119.25" customHeight="1">
      <c r="C52" s="1400"/>
      <c r="D52" s="1400"/>
      <c r="E52" s="1400"/>
      <c r="F52" s="1400"/>
      <c r="G52" s="1400"/>
      <c r="H52" s="1400"/>
      <c r="I52" s="1400"/>
      <c r="J52" s="1400"/>
      <c r="K52" s="1400"/>
    </row>
  </sheetData>
  <sheetProtection password="F757" sheet="1" objects="1" scenarios="1"/>
  <mergeCells count="22">
    <mergeCell ref="E39:F39"/>
    <mergeCell ref="E40:F40"/>
    <mergeCell ref="A1:K1"/>
    <mergeCell ref="A2:K2"/>
    <mergeCell ref="A3:K3"/>
    <mergeCell ref="A5:K5"/>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92"/>
  <sheetViews>
    <sheetView topLeftCell="A13" workbookViewId="0">
      <selection activeCell="E18" sqref="E18"/>
    </sheetView>
  </sheetViews>
  <sheetFormatPr defaultColWidth="9.140625" defaultRowHeight="15"/>
  <cols>
    <col min="1" max="1" width="9.140625" style="788"/>
    <col min="2" max="2" width="10.42578125" style="788" customWidth="1"/>
    <col min="3" max="3" width="64.85546875" style="788" customWidth="1"/>
    <col min="4" max="4" width="16" style="788" customWidth="1"/>
    <col min="5" max="5" width="22.140625" style="788" customWidth="1"/>
    <col min="6" max="6" width="34.28515625" style="788" customWidth="1"/>
    <col min="7" max="7" width="14.85546875" style="788" customWidth="1"/>
    <col min="8" max="16384" width="9.140625" style="788"/>
  </cols>
  <sheetData>
    <row r="1" spans="1:7">
      <c r="A1" s="1424" t="s">
        <v>0</v>
      </c>
      <c r="B1" s="1425"/>
      <c r="C1" s="1425"/>
      <c r="D1" s="1425"/>
      <c r="E1" s="1426"/>
    </row>
    <row r="2" spans="1:7">
      <c r="A2" s="1424" t="s">
        <v>1</v>
      </c>
      <c r="B2" s="1425"/>
      <c r="C2" s="1425"/>
      <c r="D2" s="1425"/>
      <c r="E2" s="1426"/>
    </row>
    <row r="3" spans="1:7">
      <c r="A3" s="1427"/>
      <c r="B3" s="1428"/>
      <c r="C3" s="1428"/>
      <c r="D3" s="1428"/>
      <c r="E3" s="1429"/>
    </row>
    <row r="4" spans="1:7">
      <c r="A4" s="850"/>
      <c r="B4" s="850"/>
      <c r="C4" s="850"/>
      <c r="D4" s="850"/>
      <c r="E4" s="850"/>
    </row>
    <row r="5" spans="1:7">
      <c r="A5" s="1430" t="s">
        <v>807</v>
      </c>
      <c r="B5" s="1431"/>
      <c r="C5" s="1431"/>
      <c r="D5" s="1431"/>
      <c r="E5" s="1432"/>
    </row>
    <row r="6" spans="1:7">
      <c r="A6" s="850"/>
      <c r="B6" s="850"/>
      <c r="C6" s="850"/>
      <c r="D6" s="850"/>
      <c r="E6" s="850"/>
    </row>
    <row r="8" spans="1:7" ht="27" customHeight="1" thickBot="1">
      <c r="B8" s="1334" t="s">
        <v>808</v>
      </c>
      <c r="C8" s="1334"/>
      <c r="D8" s="1334"/>
      <c r="E8" s="1334"/>
    </row>
    <row r="9" spans="1:7" ht="15.75" thickBot="1">
      <c r="B9" s="851" t="s">
        <v>4</v>
      </c>
      <c r="C9" s="852" t="s">
        <v>809</v>
      </c>
      <c r="D9" s="853" t="s">
        <v>677</v>
      </c>
      <c r="E9" s="854" t="s">
        <v>49</v>
      </c>
      <c r="F9" s="855"/>
      <c r="G9" s="856"/>
    </row>
    <row r="10" spans="1:7" ht="16.5" customHeight="1" thickTop="1" thickBot="1">
      <c r="B10" s="857"/>
      <c r="C10" s="858" t="s">
        <v>810</v>
      </c>
      <c r="D10" s="859"/>
      <c r="E10" s="860"/>
      <c r="F10" s="855"/>
      <c r="G10" s="856"/>
    </row>
    <row r="11" spans="1:7" ht="15.75" thickTop="1">
      <c r="B11" s="861">
        <v>1</v>
      </c>
      <c r="C11" s="862" t="s">
        <v>811</v>
      </c>
      <c r="D11" s="863" t="s">
        <v>737</v>
      </c>
      <c r="E11" s="864">
        <v>1106.4000000000001</v>
      </c>
      <c r="F11" s="865"/>
      <c r="G11" s="856"/>
    </row>
    <row r="12" spans="1:7" ht="15.75" thickBot="1">
      <c r="B12" s="866">
        <v>2</v>
      </c>
      <c r="C12" s="867" t="s">
        <v>812</v>
      </c>
      <c r="D12" s="868" t="s">
        <v>737</v>
      </c>
      <c r="E12" s="869">
        <v>375</v>
      </c>
      <c r="F12" s="855"/>
      <c r="G12" s="856"/>
    </row>
    <row r="13" spans="1:7">
      <c r="B13" s="870">
        <v>3</v>
      </c>
      <c r="C13" s="871" t="s">
        <v>813</v>
      </c>
      <c r="D13" s="872" t="s">
        <v>737</v>
      </c>
      <c r="E13" s="873">
        <v>1084</v>
      </c>
      <c r="F13" s="855"/>
      <c r="G13" s="856"/>
    </row>
    <row r="14" spans="1:7">
      <c r="B14" s="874" t="s">
        <v>814</v>
      </c>
      <c r="C14" s="875" t="s">
        <v>815</v>
      </c>
      <c r="D14" s="876" t="s">
        <v>737</v>
      </c>
      <c r="E14" s="877">
        <v>0</v>
      </c>
      <c r="F14" s="878"/>
      <c r="G14" s="856"/>
    </row>
    <row r="15" spans="1:7" ht="15.75" thickBot="1">
      <c r="B15" s="879" t="s">
        <v>816</v>
      </c>
      <c r="C15" s="880" t="s">
        <v>817</v>
      </c>
      <c r="D15" s="881" t="s">
        <v>737</v>
      </c>
      <c r="E15" s="882">
        <v>0</v>
      </c>
      <c r="F15" s="878"/>
    </row>
    <row r="16" spans="1:7">
      <c r="B16" s="870" t="s">
        <v>818</v>
      </c>
      <c r="C16" s="871" t="s">
        <v>819</v>
      </c>
      <c r="D16" s="883" t="s">
        <v>737</v>
      </c>
      <c r="E16" s="884">
        <f>E17+E21+E23</f>
        <v>797</v>
      </c>
      <c r="F16" s="855"/>
    </row>
    <row r="17" spans="2:7">
      <c r="B17" s="885" t="s">
        <v>820</v>
      </c>
      <c r="C17" s="886" t="s">
        <v>821</v>
      </c>
      <c r="D17" s="887" t="s">
        <v>737</v>
      </c>
      <c r="E17" s="888">
        <f>E18+E20</f>
        <v>596</v>
      </c>
      <c r="F17" s="878"/>
    </row>
    <row r="18" spans="2:7">
      <c r="B18" s="874" t="s">
        <v>822</v>
      </c>
      <c r="C18" s="875" t="s">
        <v>823</v>
      </c>
      <c r="D18" s="876" t="s">
        <v>737</v>
      </c>
      <c r="E18" s="889">
        <v>184.6</v>
      </c>
      <c r="F18" s="890"/>
    </row>
    <row r="19" spans="2:7">
      <c r="B19" s="891" t="s">
        <v>824</v>
      </c>
      <c r="C19" s="892" t="s">
        <v>817</v>
      </c>
      <c r="D19" s="893" t="s">
        <v>737</v>
      </c>
      <c r="E19" s="889">
        <v>0</v>
      </c>
      <c r="F19" s="894"/>
    </row>
    <row r="20" spans="2:7">
      <c r="B20" s="874" t="s">
        <v>825</v>
      </c>
      <c r="C20" s="875" t="s">
        <v>826</v>
      </c>
      <c r="D20" s="876" t="s">
        <v>737</v>
      </c>
      <c r="E20" s="889">
        <v>411.4</v>
      </c>
      <c r="F20" s="895"/>
    </row>
    <row r="21" spans="2:7">
      <c r="B21" s="885" t="s">
        <v>827</v>
      </c>
      <c r="C21" s="886" t="s">
        <v>828</v>
      </c>
      <c r="D21" s="887" t="s">
        <v>737</v>
      </c>
      <c r="E21" s="896">
        <v>201</v>
      </c>
      <c r="F21" s="878"/>
    </row>
    <row r="22" spans="2:7">
      <c r="B22" s="874" t="s">
        <v>829</v>
      </c>
      <c r="C22" s="875" t="s">
        <v>830</v>
      </c>
      <c r="D22" s="876" t="s">
        <v>737</v>
      </c>
      <c r="E22" s="889">
        <v>64.900000000000006</v>
      </c>
      <c r="F22" s="878"/>
    </row>
    <row r="23" spans="2:7" ht="15.75" thickBot="1">
      <c r="B23" s="866" t="s">
        <v>831</v>
      </c>
      <c r="C23" s="867" t="s">
        <v>832</v>
      </c>
      <c r="D23" s="868" t="s">
        <v>737</v>
      </c>
      <c r="E23" s="869">
        <v>0</v>
      </c>
    </row>
    <row r="24" spans="2:7" ht="15.75" thickBot="1">
      <c r="B24" s="897" t="s">
        <v>833</v>
      </c>
      <c r="C24" s="898" t="s">
        <v>834</v>
      </c>
      <c r="D24" s="899" t="s">
        <v>737</v>
      </c>
      <c r="E24" s="900">
        <v>0.4</v>
      </c>
      <c r="F24" s="878"/>
      <c r="G24" s="901"/>
    </row>
    <row r="25" spans="2:7">
      <c r="B25" s="902" t="s">
        <v>835</v>
      </c>
      <c r="C25" s="903" t="s">
        <v>836</v>
      </c>
      <c r="D25" s="904" t="s">
        <v>737</v>
      </c>
      <c r="E25" s="905">
        <f>E11-E16-E24</f>
        <v>309.00000000000011</v>
      </c>
      <c r="F25" s="855"/>
    </row>
    <row r="26" spans="2:7">
      <c r="B26" s="906" t="s">
        <v>837</v>
      </c>
      <c r="C26" s="875" t="s">
        <v>838</v>
      </c>
      <c r="D26" s="876" t="s">
        <v>737</v>
      </c>
      <c r="E26" s="907">
        <f>E11-E13</f>
        <v>22.400000000000091</v>
      </c>
      <c r="F26" s="856"/>
      <c r="G26" s="908"/>
    </row>
    <row r="27" spans="2:7">
      <c r="B27" s="906" t="s">
        <v>839</v>
      </c>
      <c r="C27" s="875" t="s">
        <v>840</v>
      </c>
      <c r="D27" s="876" t="s">
        <v>737</v>
      </c>
      <c r="E27" s="907">
        <f>E13-E16-E24-E29</f>
        <v>471.20000000000005</v>
      </c>
      <c r="F27" s="856"/>
      <c r="G27" s="908"/>
    </row>
    <row r="28" spans="2:7">
      <c r="B28" s="874" t="s">
        <v>841</v>
      </c>
      <c r="C28" s="875" t="s">
        <v>842</v>
      </c>
      <c r="D28" s="876" t="s">
        <v>737</v>
      </c>
      <c r="E28" s="909">
        <f>$E$14-$E$18</f>
        <v>-184.6</v>
      </c>
      <c r="F28" s="855"/>
    </row>
    <row r="29" spans="2:7">
      <c r="B29" s="891" t="s">
        <v>843</v>
      </c>
      <c r="C29" s="892" t="s">
        <v>844</v>
      </c>
      <c r="D29" s="893" t="s">
        <v>737</v>
      </c>
      <c r="E29" s="910">
        <f>$E$14-$E$18</f>
        <v>-184.6</v>
      </c>
      <c r="F29" s="855"/>
    </row>
    <row r="30" spans="2:7" ht="15.75" thickBot="1">
      <c r="B30" s="891" t="s">
        <v>845</v>
      </c>
      <c r="C30" s="911" t="s">
        <v>846</v>
      </c>
      <c r="D30" s="912" t="s">
        <v>737</v>
      </c>
      <c r="E30" s="913">
        <f>E15-E19</f>
        <v>0</v>
      </c>
      <c r="F30" s="855"/>
    </row>
    <row r="31" spans="2:7" ht="16.5" thickTop="1" thickBot="1">
      <c r="B31" s="857"/>
      <c r="C31" s="858" t="s">
        <v>847</v>
      </c>
      <c r="D31" s="859"/>
      <c r="E31" s="860"/>
      <c r="F31" s="855"/>
    </row>
    <row r="32" spans="2:7" ht="15.75" thickTop="1">
      <c r="B32" s="870" t="s">
        <v>848</v>
      </c>
      <c r="C32" s="871" t="s">
        <v>849</v>
      </c>
      <c r="D32" s="876" t="s">
        <v>737</v>
      </c>
      <c r="E32" s="884">
        <f>E33+E34</f>
        <v>1489.3</v>
      </c>
      <c r="F32" s="855"/>
    </row>
    <row r="33" spans="2:6">
      <c r="B33" s="874" t="s">
        <v>850</v>
      </c>
      <c r="C33" s="875" t="s">
        <v>851</v>
      </c>
      <c r="D33" s="876" t="s">
        <v>737</v>
      </c>
      <c r="E33" s="914">
        <v>1486</v>
      </c>
      <c r="F33" s="856"/>
    </row>
    <row r="34" spans="2:6" ht="15.75" thickBot="1">
      <c r="B34" s="874" t="s">
        <v>852</v>
      </c>
      <c r="C34" s="915" t="s">
        <v>853</v>
      </c>
      <c r="D34" s="876" t="s">
        <v>737</v>
      </c>
      <c r="E34" s="914">
        <v>3.3</v>
      </c>
      <c r="F34" s="856"/>
    </row>
    <row r="35" spans="2:6" ht="26.25" thickBot="1">
      <c r="B35" s="916" t="s">
        <v>854</v>
      </c>
      <c r="C35" s="917" t="s">
        <v>855</v>
      </c>
      <c r="D35" s="918" t="s">
        <v>737</v>
      </c>
      <c r="E35" s="919">
        <v>1486</v>
      </c>
      <c r="F35" s="920"/>
    </row>
    <row r="36" spans="2:6" ht="15.75" thickBot="1">
      <c r="B36" s="897" t="s">
        <v>856</v>
      </c>
      <c r="C36" s="898" t="s">
        <v>857</v>
      </c>
      <c r="D36" s="918" t="s">
        <v>737</v>
      </c>
      <c r="E36" s="900">
        <v>1489.3</v>
      </c>
      <c r="F36" s="855"/>
    </row>
    <row r="37" spans="2:6" ht="15.75" thickBot="1">
      <c r="B37" s="921" t="s">
        <v>858</v>
      </c>
      <c r="C37" s="922" t="s">
        <v>859</v>
      </c>
      <c r="D37" s="872" t="s">
        <v>737</v>
      </c>
      <c r="E37" s="923">
        <v>0</v>
      </c>
      <c r="F37" s="924"/>
    </row>
    <row r="38" spans="2:6" ht="26.25" thickBot="1">
      <c r="B38" s="925" t="s">
        <v>860</v>
      </c>
      <c r="C38" s="926" t="s">
        <v>861</v>
      </c>
      <c r="D38" s="927" t="s">
        <v>737</v>
      </c>
      <c r="E38" s="928">
        <f>E39+E45+E48</f>
        <v>610.59999999999991</v>
      </c>
      <c r="F38" s="856"/>
    </row>
    <row r="39" spans="2:6">
      <c r="B39" s="870" t="s">
        <v>862</v>
      </c>
      <c r="C39" s="871" t="s">
        <v>863</v>
      </c>
      <c r="D39" s="872" t="s">
        <v>737</v>
      </c>
      <c r="E39" s="884">
        <f>E40+E42</f>
        <v>407.29999999999995</v>
      </c>
      <c r="F39" s="878"/>
    </row>
    <row r="40" spans="2:6">
      <c r="B40" s="874" t="s">
        <v>864</v>
      </c>
      <c r="C40" s="875" t="s">
        <v>865</v>
      </c>
      <c r="D40" s="876" t="s">
        <v>737</v>
      </c>
      <c r="E40" s="914">
        <v>168.2</v>
      </c>
      <c r="F40" s="856"/>
    </row>
    <row r="41" spans="2:6">
      <c r="B41" s="891" t="s">
        <v>866</v>
      </c>
      <c r="C41" s="892" t="s">
        <v>867</v>
      </c>
      <c r="D41" s="876" t="s">
        <v>737</v>
      </c>
      <c r="E41" s="889">
        <v>0</v>
      </c>
      <c r="F41" s="894"/>
    </row>
    <row r="42" spans="2:6">
      <c r="B42" s="879" t="s">
        <v>868</v>
      </c>
      <c r="C42" s="880" t="s">
        <v>869</v>
      </c>
      <c r="D42" s="929" t="s">
        <v>737</v>
      </c>
      <c r="E42" s="882">
        <v>239.1</v>
      </c>
      <c r="F42" s="894"/>
    </row>
    <row r="43" spans="2:6">
      <c r="B43" s="879" t="s">
        <v>870</v>
      </c>
      <c r="C43" s="880" t="s">
        <v>871</v>
      </c>
      <c r="D43" s="929" t="s">
        <v>737</v>
      </c>
      <c r="E43" s="882">
        <v>241.4</v>
      </c>
      <c r="F43" s="894"/>
    </row>
    <row r="44" spans="2:6" ht="15.75" thickBot="1">
      <c r="B44" s="879" t="s">
        <v>872</v>
      </c>
      <c r="C44" s="880" t="s">
        <v>873</v>
      </c>
      <c r="D44" s="929" t="s">
        <v>737</v>
      </c>
      <c r="E44" s="882">
        <v>241.4</v>
      </c>
      <c r="F44" s="895"/>
    </row>
    <row r="45" spans="2:6">
      <c r="B45" s="870" t="s">
        <v>874</v>
      </c>
      <c r="C45" s="871" t="s">
        <v>875</v>
      </c>
      <c r="D45" s="872" t="s">
        <v>737</v>
      </c>
      <c r="E45" s="873">
        <v>203.3</v>
      </c>
      <c r="F45" s="878"/>
    </row>
    <row r="46" spans="2:6">
      <c r="B46" s="874" t="s">
        <v>876</v>
      </c>
      <c r="C46" s="930" t="s">
        <v>877</v>
      </c>
      <c r="D46" s="893" t="s">
        <v>737</v>
      </c>
      <c r="E46" s="914">
        <v>204.4</v>
      </c>
      <c r="F46" s="856"/>
    </row>
    <row r="47" spans="2:6" ht="15.75" thickBot="1">
      <c r="B47" s="931" t="s">
        <v>878</v>
      </c>
      <c r="C47" s="932" t="s">
        <v>879</v>
      </c>
      <c r="D47" s="881" t="s">
        <v>737</v>
      </c>
      <c r="E47" s="933">
        <v>24.03</v>
      </c>
      <c r="F47" s="856"/>
    </row>
    <row r="48" spans="2:6" ht="15.75" thickBot="1">
      <c r="B48" s="897" t="s">
        <v>880</v>
      </c>
      <c r="C48" s="898" t="s">
        <v>881</v>
      </c>
      <c r="D48" s="899" t="s">
        <v>737</v>
      </c>
      <c r="E48" s="900">
        <v>0</v>
      </c>
      <c r="F48" s="878"/>
    </row>
    <row r="49" spans="1:6">
      <c r="B49" s="870" t="s">
        <v>882</v>
      </c>
      <c r="C49" s="871" t="s">
        <v>883</v>
      </c>
      <c r="D49" s="904" t="s">
        <v>737</v>
      </c>
      <c r="E49" s="884">
        <f>E32-E38</f>
        <v>878.7</v>
      </c>
      <c r="F49" s="894"/>
    </row>
    <row r="50" spans="1:6">
      <c r="B50" s="874" t="s">
        <v>884</v>
      </c>
      <c r="C50" s="875" t="s">
        <v>885</v>
      </c>
      <c r="D50" s="876" t="s">
        <v>737</v>
      </c>
      <c r="E50" s="934">
        <f>E49-E51</f>
        <v>878.7</v>
      </c>
      <c r="F50" s="878"/>
    </row>
    <row r="51" spans="1:6">
      <c r="B51" s="874" t="s">
        <v>886</v>
      </c>
      <c r="C51" s="875" t="s">
        <v>887</v>
      </c>
      <c r="D51" s="876" t="s">
        <v>737</v>
      </c>
      <c r="E51" s="934">
        <f>(E40/(100-E67)*100)-E40</f>
        <v>0</v>
      </c>
      <c r="F51" s="878"/>
    </row>
    <row r="52" spans="1:6" ht="15.75" thickBot="1">
      <c r="B52" s="879" t="s">
        <v>888</v>
      </c>
      <c r="C52" s="935" t="s">
        <v>889</v>
      </c>
      <c r="D52" s="881" t="s">
        <v>737</v>
      </c>
      <c r="E52" s="936">
        <v>0</v>
      </c>
      <c r="F52" s="878"/>
    </row>
    <row r="53" spans="1:6" ht="16.5" thickTop="1" thickBot="1">
      <c r="B53" s="857"/>
      <c r="C53" s="858" t="s">
        <v>890</v>
      </c>
      <c r="D53" s="859"/>
      <c r="E53" s="860"/>
      <c r="F53" s="878"/>
    </row>
    <row r="54" spans="1:6" ht="15.75" thickTop="1">
      <c r="B54" s="870" t="s">
        <v>891</v>
      </c>
      <c r="C54" s="937" t="s">
        <v>892</v>
      </c>
      <c r="D54" s="872" t="s">
        <v>737</v>
      </c>
      <c r="E54" s="884">
        <f>SUM(E55:E56)</f>
        <v>1446.7</v>
      </c>
    </row>
    <row r="55" spans="1:6">
      <c r="B55" s="938" t="s">
        <v>893</v>
      </c>
      <c r="C55" s="939" t="s">
        <v>894</v>
      </c>
      <c r="D55" s="876" t="s">
        <v>737</v>
      </c>
      <c r="E55" s="940">
        <v>0</v>
      </c>
    </row>
    <row r="56" spans="1:6" ht="15.75" thickBot="1">
      <c r="B56" s="941" t="s">
        <v>895</v>
      </c>
      <c r="C56" s="942" t="s">
        <v>896</v>
      </c>
      <c r="D56" s="929" t="s">
        <v>737</v>
      </c>
      <c r="E56" s="943">
        <v>1446.7</v>
      </c>
      <c r="F56" s="924"/>
    </row>
    <row r="57" spans="1:6" ht="15.75" thickBot="1">
      <c r="B57" s="897" t="s">
        <v>897</v>
      </c>
      <c r="C57" s="898" t="s">
        <v>898</v>
      </c>
      <c r="D57" s="899" t="s">
        <v>737</v>
      </c>
      <c r="E57" s="900">
        <v>0</v>
      </c>
    </row>
    <row r="58" spans="1:6">
      <c r="B58" s="870" t="s">
        <v>899</v>
      </c>
      <c r="C58" s="871" t="s">
        <v>900</v>
      </c>
      <c r="D58" s="872" t="s">
        <v>737</v>
      </c>
      <c r="E58" s="873">
        <v>101.6</v>
      </c>
    </row>
    <row r="59" spans="1:6">
      <c r="B59" s="931" t="s">
        <v>901</v>
      </c>
      <c r="C59" s="939" t="s">
        <v>894</v>
      </c>
      <c r="D59" s="876" t="s">
        <v>737</v>
      </c>
      <c r="E59" s="869">
        <v>0</v>
      </c>
    </row>
    <row r="60" spans="1:6" ht="15.75" thickBot="1">
      <c r="B60" s="931" t="s">
        <v>902</v>
      </c>
      <c r="C60" s="942" t="s">
        <v>896</v>
      </c>
      <c r="D60" s="929" t="s">
        <v>737</v>
      </c>
      <c r="E60" s="933">
        <v>1446.7</v>
      </c>
    </row>
    <row r="61" spans="1:6" ht="15.75" thickBot="1">
      <c r="B61" s="944" t="s">
        <v>903</v>
      </c>
      <c r="C61" s="945" t="s">
        <v>904</v>
      </c>
      <c r="D61" s="946" t="s">
        <v>737</v>
      </c>
      <c r="E61" s="947">
        <f>E54-E58</f>
        <v>1345.1000000000001</v>
      </c>
    </row>
    <row r="62" spans="1:6" ht="16.5" thickTop="1" thickBot="1">
      <c r="B62" s="948"/>
      <c r="C62" s="858" t="s">
        <v>905</v>
      </c>
      <c r="D62" s="859"/>
      <c r="E62" s="860"/>
    </row>
    <row r="63" spans="1:6">
      <c r="A63" s="949"/>
      <c r="B63" s="950" t="s">
        <v>906</v>
      </c>
      <c r="C63" s="951" t="s">
        <v>907</v>
      </c>
      <c r="D63" s="951" t="s">
        <v>908</v>
      </c>
      <c r="E63" s="952">
        <f>IF(E11=0,0,E25/E11*100)</f>
        <v>27.928416485900225</v>
      </c>
    </row>
    <row r="64" spans="1:6">
      <c r="A64" s="949"/>
      <c r="B64" s="950" t="s">
        <v>909</v>
      </c>
      <c r="C64" s="953" t="s">
        <v>910</v>
      </c>
      <c r="D64" s="954" t="s">
        <v>908</v>
      </c>
      <c r="E64" s="955">
        <f>IF(E11=0,0,E26/E11*100)</f>
        <v>2.0245842371655902</v>
      </c>
    </row>
    <row r="65" spans="1:5">
      <c r="A65" s="949"/>
      <c r="B65" s="950" t="s">
        <v>911</v>
      </c>
      <c r="C65" s="953" t="s">
        <v>840</v>
      </c>
      <c r="D65" s="954" t="s">
        <v>908</v>
      </c>
      <c r="E65" s="955">
        <f>IF(E11=0,0,E27/E11*100)</f>
        <v>42.588575560375993</v>
      </c>
    </row>
    <row r="66" spans="1:5">
      <c r="A66" s="949"/>
      <c r="B66" s="950" t="s">
        <v>912</v>
      </c>
      <c r="C66" s="953" t="s">
        <v>842</v>
      </c>
      <c r="D66" s="954" t="s">
        <v>908</v>
      </c>
      <c r="E66" s="955">
        <f>IF(E11=0,0,E28/E11*100)</f>
        <v>-16.684743311641355</v>
      </c>
    </row>
    <row r="67" spans="1:5">
      <c r="A67" s="949"/>
      <c r="B67" s="950" t="s">
        <v>913</v>
      </c>
      <c r="C67" s="953" t="s">
        <v>844</v>
      </c>
      <c r="D67" s="954" t="s">
        <v>908</v>
      </c>
      <c r="E67" s="955">
        <f>IF(E14=0,0,E29/E14*100)</f>
        <v>0</v>
      </c>
    </row>
    <row r="68" spans="1:5">
      <c r="A68" s="949"/>
      <c r="B68" s="956" t="s">
        <v>914</v>
      </c>
      <c r="C68" s="957" t="s">
        <v>846</v>
      </c>
      <c r="D68" s="958" t="s">
        <v>908</v>
      </c>
      <c r="E68" s="959">
        <f>IF(E15=0,0,E30/E15*100)</f>
        <v>0</v>
      </c>
    </row>
    <row r="69" spans="1:5" ht="25.5">
      <c r="A69" s="949"/>
      <c r="B69" s="960" t="s">
        <v>915</v>
      </c>
      <c r="C69" s="961" t="s">
        <v>916</v>
      </c>
      <c r="D69" s="962" t="s">
        <v>908</v>
      </c>
      <c r="E69" s="952">
        <f>IF(E32=0,0,E49/E32*100)</f>
        <v>59.000872893305591</v>
      </c>
    </row>
    <row r="70" spans="1:5">
      <c r="A70" s="949"/>
      <c r="B70" s="950" t="s">
        <v>917</v>
      </c>
      <c r="C70" s="953" t="s">
        <v>885</v>
      </c>
      <c r="D70" s="954" t="s">
        <v>908</v>
      </c>
      <c r="E70" s="963">
        <f>IF(E32=0,0,E50/E32*100)</f>
        <v>59.000872893305591</v>
      </c>
    </row>
    <row r="71" spans="1:5">
      <c r="A71" s="949"/>
      <c r="B71" s="950" t="s">
        <v>918</v>
      </c>
      <c r="C71" s="953" t="s">
        <v>887</v>
      </c>
      <c r="D71" s="954" t="s">
        <v>908</v>
      </c>
      <c r="E71" s="963">
        <f>IF(E32=0,0,E51/E32*100)</f>
        <v>0</v>
      </c>
    </row>
    <row r="72" spans="1:5">
      <c r="A72" s="949"/>
      <c r="B72" s="964" t="s">
        <v>919</v>
      </c>
      <c r="C72" s="957" t="s">
        <v>889</v>
      </c>
      <c r="D72" s="958" t="s">
        <v>908</v>
      </c>
      <c r="E72" s="965">
        <f>IF(E15=0,0,E52/E15*100)</f>
        <v>0</v>
      </c>
    </row>
    <row r="73" spans="1:5" ht="25.5">
      <c r="B73" s="966" t="s">
        <v>920</v>
      </c>
      <c r="C73" s="967" t="s">
        <v>921</v>
      </c>
      <c r="D73" s="967" t="s">
        <v>908</v>
      </c>
      <c r="E73" s="968">
        <f>IF(E54=0,0,E61/E54*100)</f>
        <v>92.977120342849247</v>
      </c>
    </row>
    <row r="74" spans="1:5" ht="16.5" thickTop="1" thickBot="1">
      <c r="B74" s="857"/>
      <c r="C74" s="858" t="s">
        <v>922</v>
      </c>
      <c r="D74" s="859"/>
      <c r="E74" s="860"/>
    </row>
    <row r="75" spans="1:5" ht="16.5" thickTop="1" thickBot="1">
      <c r="B75" s="866" t="s">
        <v>923</v>
      </c>
      <c r="C75" s="868" t="s">
        <v>924</v>
      </c>
      <c r="D75" s="929" t="s">
        <v>772</v>
      </c>
      <c r="E75" s="969">
        <v>34692</v>
      </c>
    </row>
    <row r="76" spans="1:5" ht="15.75" thickBot="1">
      <c r="B76" s="897" t="s">
        <v>925</v>
      </c>
      <c r="C76" s="899" t="s">
        <v>926</v>
      </c>
      <c r="D76" s="970" t="s">
        <v>927</v>
      </c>
      <c r="E76" s="971">
        <v>17346</v>
      </c>
    </row>
    <row r="77" spans="1:5">
      <c r="B77" s="870" t="s">
        <v>928</v>
      </c>
      <c r="C77" s="872" t="s">
        <v>929</v>
      </c>
      <c r="D77" s="883" t="s">
        <v>927</v>
      </c>
      <c r="E77" s="972">
        <f>E78+E81+E82+E83+E84</f>
        <v>12565</v>
      </c>
    </row>
    <row r="78" spans="1:5">
      <c r="B78" s="931" t="s">
        <v>930</v>
      </c>
      <c r="C78" s="876" t="s">
        <v>931</v>
      </c>
      <c r="D78" s="876" t="s">
        <v>927</v>
      </c>
      <c r="E78" s="973">
        <f>SUM(E79:E80)</f>
        <v>8517</v>
      </c>
    </row>
    <row r="79" spans="1:5">
      <c r="B79" s="891" t="s">
        <v>932</v>
      </c>
      <c r="C79" s="974" t="s">
        <v>933</v>
      </c>
      <c r="D79" s="893" t="s">
        <v>927</v>
      </c>
      <c r="E79" s="975">
        <v>5116</v>
      </c>
    </row>
    <row r="80" spans="1:5">
      <c r="B80" s="891" t="s">
        <v>934</v>
      </c>
      <c r="C80" s="974" t="s">
        <v>935</v>
      </c>
      <c r="D80" s="893" t="s">
        <v>927</v>
      </c>
      <c r="E80" s="975">
        <v>3401</v>
      </c>
    </row>
    <row r="81" spans="2:6">
      <c r="B81" s="874" t="s">
        <v>936</v>
      </c>
      <c r="C81" s="876" t="s">
        <v>937</v>
      </c>
      <c r="D81" s="876" t="s">
        <v>927</v>
      </c>
      <c r="E81" s="976">
        <v>3484</v>
      </c>
      <c r="F81" s="977"/>
    </row>
    <row r="82" spans="2:6">
      <c r="B82" s="874" t="s">
        <v>938</v>
      </c>
      <c r="C82" s="876" t="s">
        <v>939</v>
      </c>
      <c r="D82" s="876" t="s">
        <v>927</v>
      </c>
      <c r="E82" s="976">
        <v>518</v>
      </c>
      <c r="F82" s="977"/>
    </row>
    <row r="83" spans="2:6">
      <c r="B83" s="941" t="s">
        <v>940</v>
      </c>
      <c r="C83" s="962" t="s">
        <v>941</v>
      </c>
      <c r="D83" s="978" t="s">
        <v>927</v>
      </c>
      <c r="E83" s="979">
        <v>46</v>
      </c>
      <c r="F83" s="977"/>
    </row>
    <row r="84" spans="2:6" ht="15.75" thickBot="1">
      <c r="B84" s="980" t="s">
        <v>942</v>
      </c>
      <c r="C84" s="958" t="s">
        <v>943</v>
      </c>
      <c r="D84" s="981" t="s">
        <v>927</v>
      </c>
      <c r="E84" s="982">
        <v>0</v>
      </c>
      <c r="F84" s="977"/>
    </row>
    <row r="85" spans="2:6">
      <c r="B85" s="870" t="s">
        <v>944</v>
      </c>
      <c r="C85" s="872" t="s">
        <v>945</v>
      </c>
      <c r="D85" s="883" t="s">
        <v>927</v>
      </c>
      <c r="E85" s="983">
        <f>SUM(E86:E88)</f>
        <v>341</v>
      </c>
    </row>
    <row r="86" spans="2:6">
      <c r="B86" s="874" t="s">
        <v>946</v>
      </c>
      <c r="C86" s="876" t="s">
        <v>947</v>
      </c>
      <c r="D86" s="876" t="s">
        <v>927</v>
      </c>
      <c r="E86" s="976">
        <v>231</v>
      </c>
    </row>
    <row r="87" spans="2:6">
      <c r="B87" s="931" t="s">
        <v>948</v>
      </c>
      <c r="C87" s="929" t="s">
        <v>949</v>
      </c>
      <c r="D87" s="929" t="s">
        <v>927</v>
      </c>
      <c r="E87" s="969">
        <v>107</v>
      </c>
    </row>
    <row r="88" spans="2:6" ht="15.75" thickBot="1">
      <c r="B88" s="874" t="s">
        <v>950</v>
      </c>
      <c r="C88" s="876" t="s">
        <v>951</v>
      </c>
      <c r="D88" s="876" t="s">
        <v>927</v>
      </c>
      <c r="E88" s="976">
        <v>3</v>
      </c>
    </row>
    <row r="89" spans="2:6">
      <c r="B89" s="870" t="s">
        <v>952</v>
      </c>
      <c r="C89" s="872" t="s">
        <v>953</v>
      </c>
      <c r="D89" s="984" t="s">
        <v>927</v>
      </c>
      <c r="E89" s="985">
        <f>SUM(E90:E92)</f>
        <v>12860</v>
      </c>
    </row>
    <row r="90" spans="2:6">
      <c r="B90" s="938" t="s">
        <v>954</v>
      </c>
      <c r="C90" s="986" t="s">
        <v>955</v>
      </c>
      <c r="D90" s="986" t="s">
        <v>927</v>
      </c>
      <c r="E90" s="987">
        <v>8748</v>
      </c>
    </row>
    <row r="91" spans="2:6">
      <c r="B91" s="931" t="s">
        <v>956</v>
      </c>
      <c r="C91" s="929" t="s">
        <v>957</v>
      </c>
      <c r="D91" s="929" t="s">
        <v>927</v>
      </c>
      <c r="E91" s="969">
        <v>3591</v>
      </c>
    </row>
    <row r="92" spans="2:6" ht="15.75" thickBot="1">
      <c r="B92" s="980" t="s">
        <v>958</v>
      </c>
      <c r="C92" s="981" t="s">
        <v>959</v>
      </c>
      <c r="D92" s="981" t="s">
        <v>927</v>
      </c>
      <c r="E92" s="982">
        <v>521</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F43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Jolanta</cp:lastModifiedBy>
  <cp:lastPrinted>2023-05-02T06:39:38Z</cp:lastPrinted>
  <dcterms:created xsi:type="dcterms:W3CDTF">2022-02-18T22:52:23Z</dcterms:created>
  <dcterms:modified xsi:type="dcterms:W3CDTF">2023-09-05T10:15:01Z</dcterms:modified>
</cp:coreProperties>
</file>